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zelle\Desktop\2019_09_28-84-ETU-ASA SAINT JULIEN\2-AVP-i\6- Livrables\2021-01_VDEF\"/>
    </mc:Choice>
  </mc:AlternateContent>
  <bookViews>
    <workbookView xWindow="0" yWindow="0" windowWidth="23040" windowHeight="9120"/>
  </bookViews>
  <sheets>
    <sheet name="version finale" sheetId="5" r:id="rId1"/>
  </sheets>
  <definedNames>
    <definedName name="_xlnm.Print_Area" localSheetId="0">'version finale'!$A$1:$L$29</definedName>
  </definedNames>
  <calcPr calcId="152511"/>
</workbook>
</file>

<file path=xl/calcChain.xml><?xml version="1.0" encoding="utf-8"?>
<calcChain xmlns="http://schemas.openxmlformats.org/spreadsheetml/2006/main">
  <c r="F11" i="5" l="1"/>
  <c r="F3" i="5"/>
  <c r="I33" i="5" l="1"/>
  <c r="H26" i="5"/>
  <c r="H25" i="5"/>
  <c r="J23" i="5"/>
  <c r="L23" i="5" s="1"/>
  <c r="F23" i="5"/>
  <c r="G23" i="5" s="1"/>
  <c r="I21" i="5"/>
  <c r="J16" i="5" s="1"/>
  <c r="L16" i="5" s="1"/>
  <c r="H21" i="5"/>
  <c r="F20" i="5"/>
  <c r="H19" i="5"/>
  <c r="F18" i="5"/>
  <c r="H17" i="5"/>
  <c r="F16" i="5"/>
  <c r="I15" i="5"/>
  <c r="J6" i="5" s="1"/>
  <c r="L6" i="5" s="1"/>
  <c r="H15" i="5"/>
  <c r="F14" i="5"/>
  <c r="H12" i="5"/>
  <c r="H10" i="5"/>
  <c r="H7" i="5"/>
  <c r="F6" i="5"/>
  <c r="G6" i="5" s="1"/>
  <c r="H5" i="5"/>
  <c r="H3" i="5"/>
  <c r="G2" i="5"/>
  <c r="J2" i="5"/>
  <c r="G16" i="5" l="1"/>
  <c r="G29" i="5" s="1"/>
  <c r="E29" i="5"/>
  <c r="I29" i="5"/>
  <c r="I32" i="5"/>
  <c r="L2" i="5"/>
</calcChain>
</file>

<file path=xl/sharedStrings.xml><?xml version="1.0" encoding="utf-8"?>
<sst xmlns="http://schemas.openxmlformats.org/spreadsheetml/2006/main" count="55" uniqueCount="54">
  <si>
    <t>Tranche de travaux</t>
  </si>
  <si>
    <t>Ouvrages concernés</t>
  </si>
  <si>
    <t>Montant de travaux k€ HT</t>
  </si>
  <si>
    <t>Secteur Milan</t>
  </si>
  <si>
    <t>Fuyant Saint Marc</t>
  </si>
  <si>
    <t>Seuil N°2 Moulin du Paradou</t>
  </si>
  <si>
    <t>Création du by pass</t>
  </si>
  <si>
    <t>Seuil N°6</t>
  </si>
  <si>
    <t>Seuil N°7</t>
  </si>
  <si>
    <t>Seuil N°1</t>
  </si>
  <si>
    <t>Seuil N°8</t>
  </si>
  <si>
    <t>Prise du Canal des Balaruts</t>
  </si>
  <si>
    <t>Seuil N°3</t>
  </si>
  <si>
    <t>Seuil N°4</t>
  </si>
  <si>
    <t>Cuvelage N°1 - 380 ml</t>
  </si>
  <si>
    <t>Seuil N°5 Grand Roulet</t>
  </si>
  <si>
    <t>Seuil N°10</t>
  </si>
  <si>
    <t>Seuil N°11</t>
  </si>
  <si>
    <t>Réserve du Grand ROULET</t>
  </si>
  <si>
    <t>Prix du ml de cuvelage</t>
  </si>
  <si>
    <t>Cuvelage N°7 - 265 ml</t>
  </si>
  <si>
    <t>Cuvelage N°8 - 430 ml</t>
  </si>
  <si>
    <t>Cuvelage N°9 + 10 - 460 ml</t>
  </si>
  <si>
    <t>Cuvelage N°4 - 110 ml</t>
  </si>
  <si>
    <t>Cuvelages N°5 - 220 ml et N°6 - 165 ml</t>
  </si>
  <si>
    <t>Cuvelage N°11 - 130 ml</t>
  </si>
  <si>
    <t>Cuvelage N°12 - 190 ml</t>
  </si>
  <si>
    <t>Economie d'eau par tranche</t>
  </si>
  <si>
    <t>Economie d'eau par phase</t>
  </si>
  <si>
    <t>TOTAL</t>
  </si>
  <si>
    <t>Années de réalisation</t>
  </si>
  <si>
    <t>2021/2022</t>
  </si>
  <si>
    <t>2022/2023</t>
  </si>
  <si>
    <t>2023/2024</t>
  </si>
  <si>
    <t>2024/2025</t>
  </si>
  <si>
    <t>2025/2026</t>
  </si>
  <si>
    <t>2026/2027</t>
  </si>
  <si>
    <t>2027/2028</t>
  </si>
  <si>
    <t>2028/2029</t>
  </si>
  <si>
    <t>2029/2030</t>
  </si>
  <si>
    <t>2030/2031</t>
  </si>
  <si>
    <t>2031/2032</t>
  </si>
  <si>
    <t>2032/2033</t>
  </si>
  <si>
    <t>Phase de travaux</t>
  </si>
  <si>
    <t>A</t>
  </si>
  <si>
    <t>B</t>
  </si>
  <si>
    <t>D</t>
  </si>
  <si>
    <t>Secteur Voguette Lot A - 250 ml</t>
  </si>
  <si>
    <t>Secteur Voguette Lot B - 245 ml</t>
  </si>
  <si>
    <t>VREF</t>
  </si>
  <si>
    <t>Total cuvelage</t>
  </si>
  <si>
    <t>Total seuils</t>
  </si>
  <si>
    <t>C</t>
  </si>
  <si>
    <t>Cuvelage N°2+3 - 275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</si>
</sst>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2" fontId="3" fillId="3" borderId="10" xfId="0" applyNumberFormat="1" applyFont="1" applyFill="1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2" fontId="3" fillId="5" borderId="4" xfId="0" applyNumberFormat="1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2" fontId="3" fillId="5" borderId="6" xfId="0" applyNumberFormat="1" applyFont="1" applyFill="1" applyBorder="1" applyAlignment="1">
      <alignment horizontal="center"/>
    </xf>
    <xf numFmtId="2" fontId="0" fillId="5" borderId="0" xfId="0" applyNumberFormat="1" applyFill="1"/>
    <xf numFmtId="2" fontId="0" fillId="6" borderId="0" xfId="0" applyNumberFormat="1" applyFill="1"/>
    <xf numFmtId="2" fontId="3" fillId="6" borderId="1" xfId="0" applyNumberFormat="1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2" fontId="3" fillId="6" borderId="3" xfId="0" applyNumberFormat="1" applyFont="1" applyFill="1" applyBorder="1" applyAlignment="1">
      <alignment horizontal="center"/>
    </xf>
    <xf numFmtId="2" fontId="0" fillId="0" borderId="6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0" fontId="0" fillId="0" borderId="15" xfId="0" applyNumberFormat="1" applyBorder="1" applyAlignment="1">
      <alignment horizontal="center" vertical="center" wrapText="1"/>
    </xf>
    <xf numFmtId="10" fontId="0" fillId="0" borderId="16" xfId="0" applyNumberFormat="1" applyBorder="1" applyAlignment="1">
      <alignment horizontal="center" vertical="center" wrapText="1"/>
    </xf>
    <xf numFmtId="10" fontId="0" fillId="0" borderId="17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 wrapText="1"/>
    </xf>
    <xf numFmtId="10" fontId="0" fillId="0" borderId="19" xfId="0" applyNumberFormat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14" xfId="0" applyNumberFormat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2" fontId="0" fillId="0" borderId="25" xfId="0" applyNumberFormat="1" applyBorder="1" applyAlignment="1">
      <alignment horizontal="center" vertical="center" wrapText="1"/>
    </xf>
    <xf numFmtId="10" fontId="0" fillId="0" borderId="7" xfId="0" applyNumberFormat="1" applyBorder="1" applyAlignment="1">
      <alignment horizontal="center" vertical="center" wrapText="1"/>
    </xf>
    <xf numFmtId="10" fontId="0" fillId="0" borderId="24" xfId="0" applyNumberFormat="1" applyBorder="1" applyAlignment="1">
      <alignment horizontal="center" vertical="center" wrapText="1"/>
    </xf>
    <xf numFmtId="10" fontId="0" fillId="0" borderId="11" xfId="0" applyNumberForma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42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:F2"/>
    </sheetView>
  </sheetViews>
  <sheetFormatPr baseColWidth="10" defaultRowHeight="14.4" x14ac:dyDescent="0.3"/>
  <cols>
    <col min="1" max="1" width="12.5546875" customWidth="1"/>
    <col min="2" max="2" width="14.44140625" customWidth="1"/>
    <col min="3" max="3" width="18.44140625" customWidth="1"/>
    <col min="4" max="4" width="34.5546875" bestFit="1" customWidth="1"/>
    <col min="5" max="5" width="13.88671875" customWidth="1"/>
    <col min="6" max="7" width="14.44140625" customWidth="1"/>
    <col min="8" max="8" width="15.5546875" customWidth="1"/>
    <col min="9" max="9" width="15.109375" customWidth="1"/>
    <col min="10" max="10" width="16.6640625" customWidth="1"/>
    <col min="11" max="11" width="8.44140625" customWidth="1"/>
    <col min="12" max="12" width="19.33203125" customWidth="1"/>
  </cols>
  <sheetData>
    <row r="1" spans="1:12" ht="34.5" customHeight="1" thickBot="1" x14ac:dyDescent="0.35">
      <c r="A1" s="7" t="s">
        <v>43</v>
      </c>
      <c r="B1" s="35" t="s">
        <v>0</v>
      </c>
      <c r="C1" s="35" t="s">
        <v>30</v>
      </c>
      <c r="D1" s="35" t="s">
        <v>1</v>
      </c>
      <c r="E1" s="64" t="s">
        <v>2</v>
      </c>
      <c r="F1" s="64"/>
      <c r="G1" s="41"/>
      <c r="H1" s="35" t="s">
        <v>19</v>
      </c>
      <c r="I1" s="35" t="s">
        <v>27</v>
      </c>
      <c r="J1" s="35" t="s">
        <v>28</v>
      </c>
      <c r="K1" s="35" t="s">
        <v>49</v>
      </c>
      <c r="L1" s="8" t="s">
        <v>28</v>
      </c>
    </row>
    <row r="2" spans="1:12" ht="18" x14ac:dyDescent="0.3">
      <c r="A2" s="70" t="s">
        <v>44</v>
      </c>
      <c r="B2" s="38">
        <v>1</v>
      </c>
      <c r="C2" s="33" t="s">
        <v>31</v>
      </c>
      <c r="D2" s="31" t="s">
        <v>3</v>
      </c>
      <c r="E2" s="65">
        <v>664</v>
      </c>
      <c r="F2" s="65"/>
      <c r="G2" s="83">
        <f>SUM(E2,F3,E5)</f>
        <v>1613</v>
      </c>
      <c r="H2" s="5"/>
      <c r="I2" s="11">
        <v>3.1429999999999998</v>
      </c>
      <c r="J2" s="46">
        <f>SUM(I2:I5)</f>
        <v>3.2119999999999997</v>
      </c>
      <c r="K2" s="46">
        <v>62.4</v>
      </c>
      <c r="L2" s="49">
        <f>J2/K2</f>
        <v>5.1474358974358973E-2</v>
      </c>
    </row>
    <row r="3" spans="1:12" ht="15.75" customHeight="1" x14ac:dyDescent="0.3">
      <c r="A3" s="71"/>
      <c r="B3" s="53">
        <v>2</v>
      </c>
      <c r="C3" s="61" t="s">
        <v>32</v>
      </c>
      <c r="D3" s="29" t="s">
        <v>47</v>
      </c>
      <c r="E3" s="29">
        <v>460</v>
      </c>
      <c r="F3" s="55">
        <f>E3</f>
        <v>460</v>
      </c>
      <c r="G3" s="84"/>
      <c r="H3" s="3">
        <f>466000/250</f>
        <v>1864</v>
      </c>
      <c r="I3" s="12">
        <v>3.4500000000000003E-2</v>
      </c>
      <c r="J3" s="47"/>
      <c r="K3" s="47"/>
      <c r="L3" s="50"/>
    </row>
    <row r="4" spans="1:12" ht="15.75" customHeight="1" x14ac:dyDescent="0.3">
      <c r="A4" s="71"/>
      <c r="B4" s="53"/>
      <c r="C4" s="61"/>
      <c r="F4" s="55"/>
      <c r="G4" s="84"/>
      <c r="H4" s="3"/>
      <c r="I4" s="20"/>
      <c r="J4" s="47"/>
      <c r="K4" s="47"/>
      <c r="L4" s="50"/>
    </row>
    <row r="5" spans="1:12" ht="16.5" customHeight="1" thickBot="1" x14ac:dyDescent="0.35">
      <c r="A5" s="72"/>
      <c r="B5" s="9">
        <v>3</v>
      </c>
      <c r="C5" s="10" t="s">
        <v>33</v>
      </c>
      <c r="D5" s="36" t="s">
        <v>48</v>
      </c>
      <c r="E5" s="66">
        <v>489</v>
      </c>
      <c r="F5" s="66"/>
      <c r="G5" s="85"/>
      <c r="H5" s="6">
        <f>488000/245</f>
        <v>1991.8367346938776</v>
      </c>
      <c r="I5" s="13">
        <v>3.4500000000000003E-2</v>
      </c>
      <c r="J5" s="48"/>
      <c r="K5" s="48"/>
      <c r="L5" s="51"/>
    </row>
    <row r="6" spans="1:12" ht="16.5" customHeight="1" x14ac:dyDescent="0.3">
      <c r="A6" s="86" t="s">
        <v>45</v>
      </c>
      <c r="B6" s="89">
        <v>4</v>
      </c>
      <c r="C6" s="56" t="s">
        <v>34</v>
      </c>
      <c r="D6" s="39" t="s">
        <v>7</v>
      </c>
      <c r="E6" s="39">
        <v>86</v>
      </c>
      <c r="F6" s="83">
        <f>E6+E7+E8+E9+E10</f>
        <v>820</v>
      </c>
      <c r="G6" s="83">
        <f>SUM(F6:F15)</f>
        <v>2691</v>
      </c>
      <c r="H6" s="4"/>
      <c r="I6" s="21">
        <v>0.4</v>
      </c>
      <c r="J6" s="91">
        <f>SUM(I6:I15)</f>
        <v>2.2371999999999996</v>
      </c>
      <c r="K6" s="91">
        <v>39.1</v>
      </c>
      <c r="L6" s="94">
        <f>J6/K6</f>
        <v>5.7217391304347817E-2</v>
      </c>
    </row>
    <row r="7" spans="1:12" ht="16.5" customHeight="1" x14ac:dyDescent="0.3">
      <c r="A7" s="87"/>
      <c r="B7" s="90"/>
      <c r="C7" s="57"/>
      <c r="D7" s="2" t="s">
        <v>20</v>
      </c>
      <c r="E7" s="19">
        <v>401</v>
      </c>
      <c r="F7" s="84"/>
      <c r="G7" s="84"/>
      <c r="H7" s="3">
        <f>401000/265</f>
        <v>1513.2075471698113</v>
      </c>
      <c r="I7" s="26">
        <v>2.18E-2</v>
      </c>
      <c r="J7" s="92"/>
      <c r="K7" s="92"/>
      <c r="L7" s="95"/>
    </row>
    <row r="8" spans="1:12" ht="16.5" customHeight="1" x14ac:dyDescent="0.3">
      <c r="A8" s="87"/>
      <c r="B8" s="90"/>
      <c r="C8" s="57"/>
      <c r="D8" s="40" t="s">
        <v>12</v>
      </c>
      <c r="E8" s="40">
        <v>80</v>
      </c>
      <c r="F8" s="84"/>
      <c r="G8" s="84"/>
      <c r="H8" s="3"/>
      <c r="I8" s="22">
        <v>0.4</v>
      </c>
      <c r="J8" s="92"/>
      <c r="K8" s="92"/>
      <c r="L8" s="95"/>
    </row>
    <row r="9" spans="1:12" ht="16.5" customHeight="1" x14ac:dyDescent="0.3">
      <c r="A9" s="87"/>
      <c r="B9" s="90"/>
      <c r="C9" s="57"/>
      <c r="D9" s="40" t="s">
        <v>13</v>
      </c>
      <c r="E9" s="40">
        <v>84</v>
      </c>
      <c r="F9" s="84"/>
      <c r="G9" s="84"/>
      <c r="H9" s="3"/>
      <c r="I9" s="22">
        <v>0.4</v>
      </c>
      <c r="J9" s="92"/>
      <c r="K9" s="92"/>
      <c r="L9" s="95"/>
    </row>
    <row r="10" spans="1:12" ht="16.5" customHeight="1" x14ac:dyDescent="0.3">
      <c r="A10" s="87"/>
      <c r="B10" s="52"/>
      <c r="C10" s="58"/>
      <c r="D10" s="2" t="s">
        <v>23</v>
      </c>
      <c r="E10" s="19">
        <v>169</v>
      </c>
      <c r="F10" s="54"/>
      <c r="G10" s="84"/>
      <c r="H10" s="3">
        <f>169000/110</f>
        <v>1536.3636363636363</v>
      </c>
      <c r="I10" s="26">
        <v>1.0800000000000001E-2</v>
      </c>
      <c r="J10" s="92"/>
      <c r="K10" s="92"/>
      <c r="L10" s="95"/>
    </row>
    <row r="11" spans="1:12" ht="16.5" customHeight="1" x14ac:dyDescent="0.3">
      <c r="A11" s="87"/>
      <c r="B11" s="75">
        <v>5</v>
      </c>
      <c r="C11" s="76" t="s">
        <v>35</v>
      </c>
      <c r="D11" s="40" t="s">
        <v>8</v>
      </c>
      <c r="E11" s="40">
        <v>91</v>
      </c>
      <c r="F11" s="73">
        <f>E11+E12+E13</f>
        <v>1048</v>
      </c>
      <c r="G11" s="84"/>
      <c r="H11" s="3"/>
      <c r="I11" s="22">
        <v>0.4</v>
      </c>
      <c r="J11" s="92"/>
      <c r="K11" s="92"/>
      <c r="L11" s="95"/>
    </row>
    <row r="12" spans="1:12" ht="16.5" customHeight="1" x14ac:dyDescent="0.3">
      <c r="A12" s="87"/>
      <c r="B12" s="90"/>
      <c r="C12" s="57"/>
      <c r="D12" s="2" t="s">
        <v>21</v>
      </c>
      <c r="E12" s="40">
        <v>674</v>
      </c>
      <c r="F12" s="84"/>
      <c r="G12" s="84"/>
      <c r="H12" s="3">
        <f>674000/430</f>
        <v>1567.4418604651162</v>
      </c>
      <c r="I12" s="26">
        <v>3.5299999999999998E-2</v>
      </c>
      <c r="J12" s="92"/>
      <c r="K12" s="92"/>
      <c r="L12" s="95"/>
    </row>
    <row r="13" spans="1:12" ht="16.5" customHeight="1" x14ac:dyDescent="0.3">
      <c r="A13" s="87"/>
      <c r="B13" s="52"/>
      <c r="C13" s="58"/>
      <c r="D13" s="102" t="s">
        <v>11</v>
      </c>
      <c r="E13" s="29">
        <v>283</v>
      </c>
      <c r="F13" s="54"/>
      <c r="G13" s="84"/>
      <c r="H13" s="44"/>
      <c r="I13" s="45">
        <v>0.13</v>
      </c>
      <c r="J13" s="92"/>
      <c r="K13" s="92"/>
      <c r="L13" s="95"/>
    </row>
    <row r="14" spans="1:12" ht="16.5" customHeight="1" x14ac:dyDescent="0.3">
      <c r="A14" s="87"/>
      <c r="B14" s="75">
        <v>6</v>
      </c>
      <c r="C14" s="76" t="s">
        <v>36</v>
      </c>
      <c r="D14" s="40" t="s">
        <v>10</v>
      </c>
      <c r="E14" s="40">
        <v>91</v>
      </c>
      <c r="F14" s="73">
        <f>E14+E15</f>
        <v>823</v>
      </c>
      <c r="G14" s="84"/>
      <c r="H14" s="3"/>
      <c r="I14" s="22">
        <v>0.4</v>
      </c>
      <c r="J14" s="92"/>
      <c r="K14" s="92"/>
      <c r="L14" s="95"/>
    </row>
    <row r="15" spans="1:12" ht="16.5" customHeight="1" thickBot="1" x14ac:dyDescent="0.35">
      <c r="A15" s="88"/>
      <c r="B15" s="97"/>
      <c r="C15" s="98"/>
      <c r="D15" s="16" t="s">
        <v>22</v>
      </c>
      <c r="E15" s="42">
        <v>732</v>
      </c>
      <c r="F15" s="85"/>
      <c r="G15" s="85"/>
      <c r="H15" s="14">
        <f>731000/460</f>
        <v>1589.1304347826087</v>
      </c>
      <c r="I15" s="27">
        <f>0.0261+0.0132</f>
        <v>3.9300000000000002E-2</v>
      </c>
      <c r="J15" s="93"/>
      <c r="K15" s="93"/>
      <c r="L15" s="96"/>
    </row>
    <row r="16" spans="1:12" ht="16.5" customHeight="1" x14ac:dyDescent="0.3">
      <c r="A16" s="70" t="s">
        <v>52</v>
      </c>
      <c r="B16" s="59">
        <v>7</v>
      </c>
      <c r="C16" s="60" t="s">
        <v>37</v>
      </c>
      <c r="D16" s="31" t="s">
        <v>15</v>
      </c>
      <c r="E16" s="31">
        <v>99</v>
      </c>
      <c r="F16" s="65">
        <f>E16+E17</f>
        <v>702</v>
      </c>
      <c r="G16" s="83">
        <f>SUM(F16:F22)</f>
        <v>2280</v>
      </c>
      <c r="H16" s="5"/>
      <c r="I16" s="23">
        <v>0.3</v>
      </c>
      <c r="J16" s="46">
        <f>SUM(I16:I22)</f>
        <v>2.0083000000000002</v>
      </c>
      <c r="K16" s="46">
        <v>39.1</v>
      </c>
      <c r="L16" s="49">
        <f>J16/K16</f>
        <v>5.1363171355498727E-2</v>
      </c>
    </row>
    <row r="17" spans="1:12" ht="16.5" customHeight="1" x14ac:dyDescent="0.3">
      <c r="A17" s="71"/>
      <c r="B17" s="53"/>
      <c r="C17" s="61"/>
      <c r="D17" s="2" t="s">
        <v>24</v>
      </c>
      <c r="E17" s="29">
        <v>603</v>
      </c>
      <c r="F17" s="55"/>
      <c r="G17" s="84"/>
      <c r="H17" s="3">
        <f>603000/(220+165)</f>
        <v>1566.2337662337663</v>
      </c>
      <c r="I17" s="26">
        <v>3.7600000000000001E-2</v>
      </c>
      <c r="J17" s="47"/>
      <c r="K17" s="47"/>
      <c r="L17" s="50"/>
    </row>
    <row r="18" spans="1:12" ht="16.5" customHeight="1" x14ac:dyDescent="0.3">
      <c r="A18" s="71"/>
      <c r="B18" s="53">
        <v>8</v>
      </c>
      <c r="C18" s="61" t="s">
        <v>38</v>
      </c>
      <c r="D18" s="29" t="s">
        <v>9</v>
      </c>
      <c r="E18" s="29">
        <v>96</v>
      </c>
      <c r="F18" s="55">
        <f>E18+E19</f>
        <v>784</v>
      </c>
      <c r="G18" s="84"/>
      <c r="H18" s="3"/>
      <c r="I18" s="22">
        <v>0.8</v>
      </c>
      <c r="J18" s="47"/>
      <c r="K18" s="47"/>
      <c r="L18" s="50"/>
    </row>
    <row r="19" spans="1:12" ht="16.5" customHeight="1" x14ac:dyDescent="0.3">
      <c r="A19" s="71"/>
      <c r="B19" s="53"/>
      <c r="C19" s="61"/>
      <c r="D19" s="2" t="s">
        <v>14</v>
      </c>
      <c r="E19" s="19">
        <v>688</v>
      </c>
      <c r="F19" s="55"/>
      <c r="G19" s="84"/>
      <c r="H19" s="3">
        <f>E19/380*1000</f>
        <v>1810.5263157894738</v>
      </c>
      <c r="I19" s="26">
        <v>3.9699999999999999E-2</v>
      </c>
      <c r="J19" s="47"/>
      <c r="K19" s="47"/>
      <c r="L19" s="50"/>
    </row>
    <row r="20" spans="1:12" ht="16.5" customHeight="1" x14ac:dyDescent="0.3">
      <c r="A20" s="71"/>
      <c r="B20" s="53">
        <v>9</v>
      </c>
      <c r="C20" s="61" t="s">
        <v>39</v>
      </c>
      <c r="D20" s="29" t="s">
        <v>5</v>
      </c>
      <c r="E20" s="19">
        <v>94</v>
      </c>
      <c r="F20" s="55">
        <f>E20+E21+E22</f>
        <v>794</v>
      </c>
      <c r="G20" s="84"/>
      <c r="H20" s="3"/>
      <c r="I20" s="22">
        <v>0.8</v>
      </c>
      <c r="J20" s="47"/>
      <c r="K20" s="47"/>
      <c r="L20" s="50"/>
    </row>
    <row r="21" spans="1:12" ht="16.5" customHeight="1" x14ac:dyDescent="0.3">
      <c r="A21" s="71"/>
      <c r="B21" s="53"/>
      <c r="C21" s="61"/>
      <c r="D21" s="2" t="s">
        <v>53</v>
      </c>
      <c r="E21" s="19">
        <v>508</v>
      </c>
      <c r="F21" s="55"/>
      <c r="G21" s="84"/>
      <c r="H21" s="3">
        <f>E21*1000/260</f>
        <v>1953.8461538461538</v>
      </c>
      <c r="I21" s="26">
        <f>0.027+0.004</f>
        <v>3.1E-2</v>
      </c>
      <c r="J21" s="47"/>
      <c r="K21" s="47"/>
      <c r="L21" s="50"/>
    </row>
    <row r="22" spans="1:12" ht="16.5" customHeight="1" thickBot="1" x14ac:dyDescent="0.35">
      <c r="A22" s="74"/>
      <c r="B22" s="75"/>
      <c r="C22" s="76"/>
      <c r="D22" s="34" t="s">
        <v>6</v>
      </c>
      <c r="E22" s="34">
        <v>192</v>
      </c>
      <c r="F22" s="73"/>
      <c r="G22" s="85"/>
      <c r="H22" s="14"/>
      <c r="I22" s="15"/>
      <c r="J22" s="62"/>
      <c r="K22" s="62"/>
      <c r="L22" s="63"/>
    </row>
    <row r="23" spans="1:12" ht="15" customHeight="1" x14ac:dyDescent="0.3">
      <c r="A23" s="70" t="s">
        <v>46</v>
      </c>
      <c r="B23" s="59">
        <v>10</v>
      </c>
      <c r="C23" s="60" t="s">
        <v>40</v>
      </c>
      <c r="D23" s="31" t="s">
        <v>16</v>
      </c>
      <c r="E23" s="37">
        <v>68</v>
      </c>
      <c r="F23" s="67">
        <f>E23+E24+E25+E26</f>
        <v>536</v>
      </c>
      <c r="G23" s="99">
        <f>SUM(F23,E27,E28)</f>
        <v>2716</v>
      </c>
      <c r="H23" s="5"/>
      <c r="I23" s="23">
        <v>0.16</v>
      </c>
      <c r="J23" s="46">
        <f>SUM(I23:I28)</f>
        <v>2.0754199999999998</v>
      </c>
      <c r="K23" s="46">
        <v>39.1</v>
      </c>
      <c r="L23" s="49">
        <f>J23/K23</f>
        <v>5.3079795396419431E-2</v>
      </c>
    </row>
    <row r="24" spans="1:12" ht="15" customHeight="1" x14ac:dyDescent="0.3">
      <c r="A24" s="71"/>
      <c r="B24" s="53"/>
      <c r="C24" s="61"/>
      <c r="D24" s="29" t="s">
        <v>17</v>
      </c>
      <c r="E24" s="32">
        <v>68</v>
      </c>
      <c r="F24" s="68"/>
      <c r="G24" s="100"/>
      <c r="H24" s="3"/>
      <c r="I24" s="22">
        <v>0.15</v>
      </c>
      <c r="J24" s="47"/>
      <c r="K24" s="47"/>
      <c r="L24" s="50"/>
    </row>
    <row r="25" spans="1:12" ht="15" customHeight="1" x14ac:dyDescent="0.3">
      <c r="A25" s="71"/>
      <c r="B25" s="53"/>
      <c r="C25" s="61"/>
      <c r="D25" s="2" t="s">
        <v>25</v>
      </c>
      <c r="E25" s="32">
        <v>162</v>
      </c>
      <c r="F25" s="68"/>
      <c r="G25" s="100"/>
      <c r="H25" s="3">
        <f>162000/130</f>
        <v>1246.1538461538462</v>
      </c>
      <c r="I25" s="26">
        <v>1.03E-2</v>
      </c>
      <c r="J25" s="47"/>
      <c r="K25" s="47"/>
      <c r="L25" s="50"/>
    </row>
    <row r="26" spans="1:12" ht="15" customHeight="1" x14ac:dyDescent="0.3">
      <c r="A26" s="71"/>
      <c r="B26" s="53"/>
      <c r="C26" s="61"/>
      <c r="D26" s="2" t="s">
        <v>26</v>
      </c>
      <c r="E26" s="32">
        <v>238</v>
      </c>
      <c r="F26" s="68"/>
      <c r="G26" s="100"/>
      <c r="H26" s="3">
        <f>238000/190</f>
        <v>1252.6315789473683</v>
      </c>
      <c r="I26" s="26">
        <v>1.4800000000000001E-2</v>
      </c>
      <c r="J26" s="47"/>
      <c r="K26" s="47"/>
      <c r="L26" s="50"/>
    </row>
    <row r="27" spans="1:12" ht="15" customHeight="1" x14ac:dyDescent="0.3">
      <c r="A27" s="71"/>
      <c r="B27" s="30">
        <v>11</v>
      </c>
      <c r="C27" s="28" t="s">
        <v>41</v>
      </c>
      <c r="D27" s="29" t="s">
        <v>4</v>
      </c>
      <c r="E27" s="68">
        <v>875</v>
      </c>
      <c r="F27" s="68"/>
      <c r="G27" s="100"/>
      <c r="H27" s="3"/>
      <c r="I27" s="12">
        <v>0.36031999999999997</v>
      </c>
      <c r="J27" s="47"/>
      <c r="K27" s="47"/>
      <c r="L27" s="50"/>
    </row>
    <row r="28" spans="1:12" ht="15" customHeight="1" thickBot="1" x14ac:dyDescent="0.35">
      <c r="A28" s="72"/>
      <c r="B28" s="9">
        <v>12</v>
      </c>
      <c r="C28" s="10" t="s">
        <v>42</v>
      </c>
      <c r="D28" s="36" t="s">
        <v>18</v>
      </c>
      <c r="E28" s="69">
        <v>1305</v>
      </c>
      <c r="F28" s="69"/>
      <c r="G28" s="101"/>
      <c r="H28" s="6"/>
      <c r="I28" s="13">
        <v>1.38</v>
      </c>
      <c r="J28" s="48"/>
      <c r="K28" s="48"/>
      <c r="L28" s="51"/>
    </row>
    <row r="29" spans="1:12" ht="27.75" customHeight="1" thickBot="1" x14ac:dyDescent="0.35">
      <c r="A29" s="81" t="s">
        <v>29</v>
      </c>
      <c r="B29" s="82"/>
      <c r="C29" s="82"/>
      <c r="D29" s="82"/>
      <c r="E29" s="79">
        <f>E2+F3+E5+F6+F11+F14+F16+F18+F20+F23+E27+E28</f>
        <v>9300</v>
      </c>
      <c r="F29" s="80"/>
      <c r="G29" s="43">
        <f>SUM(G2:G28)</f>
        <v>9300</v>
      </c>
      <c r="H29" s="18"/>
      <c r="I29" s="77">
        <f>SUM(J2:J28)</f>
        <v>9.532919999999999</v>
      </c>
      <c r="J29" s="78"/>
      <c r="K29" s="17"/>
    </row>
    <row r="30" spans="1:12" x14ac:dyDescent="0.3">
      <c r="A30" s="1"/>
      <c r="B30" s="1"/>
      <c r="C30" s="1"/>
      <c r="D30" s="1"/>
    </row>
    <row r="31" spans="1:12" x14ac:dyDescent="0.3">
      <c r="A31" s="1"/>
      <c r="B31" s="1"/>
      <c r="C31" s="1"/>
      <c r="D31" s="1"/>
    </row>
    <row r="32" spans="1:12" x14ac:dyDescent="0.3">
      <c r="A32" s="1"/>
      <c r="B32" s="1"/>
      <c r="C32" s="1"/>
      <c r="D32" s="1"/>
      <c r="H32" t="s">
        <v>50</v>
      </c>
      <c r="I32" s="25">
        <f>SUM(I7,I10,I12,I15,I17,I19,I21,I25:I26)</f>
        <v>0.24060000000000001</v>
      </c>
    </row>
    <row r="33" spans="1:9" x14ac:dyDescent="0.3">
      <c r="A33" s="1"/>
      <c r="B33" s="1"/>
      <c r="C33" s="1"/>
      <c r="D33" s="1"/>
      <c r="H33" t="s">
        <v>51</v>
      </c>
      <c r="I33" s="24">
        <f>SUM(I6,I8,I9,I11,I14,I16,I18,I20,I23:I24)</f>
        <v>4.21</v>
      </c>
    </row>
    <row r="34" spans="1:9" x14ac:dyDescent="0.3">
      <c r="A34" s="1"/>
      <c r="B34" s="1"/>
      <c r="C34" s="1"/>
      <c r="D34" s="1"/>
    </row>
    <row r="35" spans="1:9" x14ac:dyDescent="0.3">
      <c r="A35" s="1"/>
      <c r="B35" s="1"/>
      <c r="C35" s="1"/>
      <c r="D35" s="1"/>
    </row>
    <row r="36" spans="1:9" x14ac:dyDescent="0.3">
      <c r="A36" s="1"/>
      <c r="B36" s="1"/>
      <c r="C36" s="1"/>
      <c r="D36" s="1"/>
    </row>
    <row r="37" spans="1:9" x14ac:dyDescent="0.3">
      <c r="A37" s="1"/>
      <c r="B37" s="1"/>
      <c r="C37" s="1"/>
      <c r="D37" s="1"/>
    </row>
    <row r="38" spans="1:9" x14ac:dyDescent="0.3">
      <c r="A38" s="1"/>
      <c r="B38" s="1"/>
      <c r="C38" s="1"/>
      <c r="D38" s="1"/>
    </row>
    <row r="39" spans="1:9" x14ac:dyDescent="0.3">
      <c r="A39" s="1"/>
      <c r="B39" s="1"/>
      <c r="C39" s="1"/>
      <c r="D39" s="1"/>
    </row>
    <row r="40" spans="1:9" x14ac:dyDescent="0.3">
      <c r="A40" s="1"/>
      <c r="B40" s="1"/>
      <c r="C40" s="1"/>
      <c r="D40" s="1"/>
    </row>
    <row r="41" spans="1:9" x14ac:dyDescent="0.3">
      <c r="A41" s="1"/>
      <c r="B41" s="1"/>
      <c r="C41" s="1"/>
      <c r="D41" s="1"/>
    </row>
    <row r="42" spans="1:9" x14ac:dyDescent="0.3">
      <c r="A42" s="1"/>
      <c r="B42" s="1"/>
      <c r="C42" s="1"/>
      <c r="D42" s="1"/>
    </row>
  </sheetData>
  <mergeCells count="52">
    <mergeCell ref="L23:L28"/>
    <mergeCell ref="E27:F27"/>
    <mergeCell ref="E28:F28"/>
    <mergeCell ref="A29:D29"/>
    <mergeCell ref="E29:F29"/>
    <mergeCell ref="I29:J29"/>
    <mergeCell ref="A23:A28"/>
    <mergeCell ref="B23:B26"/>
    <mergeCell ref="C23:C26"/>
    <mergeCell ref="F23:F26"/>
    <mergeCell ref="J23:J28"/>
    <mergeCell ref="K23:K28"/>
    <mergeCell ref="G23:G28"/>
    <mergeCell ref="L16:L22"/>
    <mergeCell ref="B18:B19"/>
    <mergeCell ref="C18:C19"/>
    <mergeCell ref="F18:F19"/>
    <mergeCell ref="B20:B22"/>
    <mergeCell ref="C20:C22"/>
    <mergeCell ref="F20:F22"/>
    <mergeCell ref="K16:K22"/>
    <mergeCell ref="A16:A22"/>
    <mergeCell ref="B16:B17"/>
    <mergeCell ref="C16:C17"/>
    <mergeCell ref="F16:F17"/>
    <mergeCell ref="J16:J22"/>
    <mergeCell ref="G16:G22"/>
    <mergeCell ref="L6:L15"/>
    <mergeCell ref="B14:B15"/>
    <mergeCell ref="C14:C15"/>
    <mergeCell ref="F14:F15"/>
    <mergeCell ref="K6:K15"/>
    <mergeCell ref="A6:A15"/>
    <mergeCell ref="B6:B10"/>
    <mergeCell ref="C6:C10"/>
    <mergeCell ref="F6:F10"/>
    <mergeCell ref="J6:J15"/>
    <mergeCell ref="B11:B13"/>
    <mergeCell ref="C11:C13"/>
    <mergeCell ref="F11:F13"/>
    <mergeCell ref="G6:G15"/>
    <mergeCell ref="E1:F1"/>
    <mergeCell ref="A2:A5"/>
    <mergeCell ref="E2:F2"/>
    <mergeCell ref="J2:J5"/>
    <mergeCell ref="K2:K5"/>
    <mergeCell ref="L2:L5"/>
    <mergeCell ref="B3:B4"/>
    <mergeCell ref="C3:C4"/>
    <mergeCell ref="F3:F4"/>
    <mergeCell ref="E5:F5"/>
    <mergeCell ref="G2:G5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version finale</vt:lpstr>
      <vt:lpstr>'version finale'!Zone_d_impression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canal st julien</dc:creator>
  <cp:lastModifiedBy>GAZELLE, Florent</cp:lastModifiedBy>
  <cp:lastPrinted>2020-06-15T07:16:57Z</cp:lastPrinted>
  <dcterms:created xsi:type="dcterms:W3CDTF">2020-06-09T13:46:29Z</dcterms:created>
  <dcterms:modified xsi:type="dcterms:W3CDTF">2021-01-19T14:22:52Z</dcterms:modified>
</cp:coreProperties>
</file>