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4.xml" ContentType="application/vnd.openxmlformats-officedocument.spreadsheetml.worksheet+xml"/>
  <Override PartName="/xl/vbaProject.bin" ContentType="application/vnd.ms-office.vbaProject"/>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3.xml" ContentType="application/vnd.openxmlformats-officedocument.spreadsheetml.worksheet+xml"/>
  <Override PartName="/xl/theme/theme1.xml" ContentType="application/vnd.openxmlformats-officedocument.theme+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trlProps/ctrlProp6.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4.xml" ContentType="application/vnd.ms-excel.controlproperties+xml"/>
  <Override PartName="/xl/ctrlProps/ctrlProp5.xml" ContentType="application/vnd.ms-excel.controlproperties+xml"/>
  <Override PartName="/xl/comments5.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hidePivotFieldList="1"/>
  <bookViews>
    <workbookView xWindow="9570" yWindow="1695" windowWidth="9630" windowHeight="7035" tabRatio="871" firstSheet="1" activeTab="1"/>
  </bookViews>
  <sheets>
    <sheet name="Liste_services" sheetId="2" state="hidden" r:id="rId1"/>
    <sheet name="Synthèse_eau" sheetId="68" r:id="rId2"/>
    <sheet name="Synthèse_ass" sheetId="69" r:id="rId3"/>
    <sheet name="Juridique_Ass" sheetId="55" r:id="rId4"/>
    <sheet name="Assainissement_technique " sheetId="57" r:id="rId5"/>
    <sheet name="Financier_Ass" sheetId="53" r:id="rId6"/>
    <sheet name="Eau_technique" sheetId="50" r:id="rId7"/>
    <sheet name="Juridique_Eau" sheetId="51" r:id="rId8"/>
    <sheet name="Financier_Eau" sheetId="66" r:id="rId9"/>
    <sheet name="Incendie" sheetId="67" r:id="rId10"/>
    <sheet name="ETP" sheetId="47" r:id="rId11"/>
    <sheet name="calculs_tech_eau" sheetId="59" state="hidden" r:id="rId12"/>
    <sheet name="calculs_tech_asst" sheetId="60" state="hidden" r:id="rId13"/>
  </sheets>
  <externalReferences>
    <externalReference r:id="rId14"/>
    <externalReference r:id="rId15"/>
    <externalReference r:id="rId16"/>
    <externalReference r:id="rId17"/>
    <externalReference r:id="rId18"/>
  </externalReferences>
  <definedNames>
    <definedName name="_xlnm._FilterDatabase" localSheetId="4" hidden="1">'Assainissement_technique '!$A$2:$BY$2</definedName>
    <definedName name="_xlnm._FilterDatabase" localSheetId="12" hidden="1">calculs_tech_asst!$A$2:$AK$2</definedName>
    <definedName name="_xlnm._FilterDatabase" localSheetId="6" hidden="1">Eau_technique!$A$3:$BD$3</definedName>
    <definedName name="_xlnm._FilterDatabase" localSheetId="10" hidden="1">ETP!$A$2:$M$2</definedName>
    <definedName name="_xlnm._FilterDatabase" localSheetId="5" hidden="1">Financier_Ass!$A$2:$AC$18</definedName>
    <definedName name="_xlnm._FilterDatabase" localSheetId="8" hidden="1">Financier_Eau!$A$2:$AC$18</definedName>
    <definedName name="_xlnm._FilterDatabase" localSheetId="9" hidden="1">Incendie!$A$2:$E$2</definedName>
    <definedName name="_xlnm._FilterDatabase" localSheetId="3" hidden="1">Juridique_Ass!$A$2:$AE$17</definedName>
    <definedName name="_xlnm._FilterDatabase" localSheetId="7" hidden="1">Juridique_Eau!$A$2:$AU$18</definedName>
    <definedName name="_xlnm._FilterDatabase" localSheetId="0" hidden="1">Liste_services!$A$1:$I$46</definedName>
    <definedName name="_xlnm._FilterDatabase" localSheetId="2" hidden="1">Synthèse_ass!#REF!</definedName>
    <definedName name="_xlnm._FilterDatabase" localSheetId="1" hidden="1">Synthèse_eau!#REF!</definedName>
    <definedName name="Annee_de_depart">#REF!</definedName>
    <definedName name="Augmente" localSheetId="4">'[1]Paramètres TdB'!$D$4</definedName>
    <definedName name="Augmente" localSheetId="6">'[1]Paramètres TdB'!$D$4</definedName>
    <definedName name="Augmente" localSheetId="3">'[1]Paramètres TdB'!$D$4</definedName>
    <definedName name="Augmente" localSheetId="7">'[1]Paramètres TdB'!$D$4</definedName>
    <definedName name="Augmente">'[1]Paramètres TdB'!$D$4</definedName>
    <definedName name="Baisse" localSheetId="4">'[1]Paramètres TdB'!$F$4</definedName>
    <definedName name="Baisse" localSheetId="6">'[1]Paramètres TdB'!$F$4</definedName>
    <definedName name="Baisse" localSheetId="3">'[1]Paramètres TdB'!$F$4</definedName>
    <definedName name="Baisse" localSheetId="7">'[1]Paramètres TdB'!$F$4</definedName>
    <definedName name="Baisse">'[1]Paramètres TdB'!$F$4</definedName>
    <definedName name="Bon" localSheetId="4">'[1]Paramètres TdB'!$D$5</definedName>
    <definedName name="Bon" localSheetId="6">'[1]Paramètres TdB'!$D$5</definedName>
    <definedName name="Bon" localSheetId="3">'[1]Paramètres TdB'!$D$5</definedName>
    <definedName name="Bon" localSheetId="7">'[1]Paramètres TdB'!$D$5</definedName>
    <definedName name="Bon">'[1]Paramètres TdB'!$D$5</definedName>
    <definedName name="Collectivités" localSheetId="4">#REF!</definedName>
    <definedName name="Collectivités" localSheetId="6">#REF!</definedName>
    <definedName name="Collectivités" localSheetId="8">#REF!</definedName>
    <definedName name="Collectivités" localSheetId="3">#REF!</definedName>
    <definedName name="Collectivités" localSheetId="7">#REF!</definedName>
    <definedName name="Collectivités" localSheetId="2">#REF!</definedName>
    <definedName name="Collectivités" localSheetId="1">#REF!</definedName>
    <definedName name="Collectivités">#REF!</definedName>
    <definedName name="communes" localSheetId="8">#REF!</definedName>
    <definedName name="communes" localSheetId="2">#REF!</definedName>
    <definedName name="communes" localSheetId="1">#REF!</definedName>
    <definedName name="communes">#REF!</definedName>
    <definedName name="Contrats" localSheetId="4">[2]Diag_tech!#REF!</definedName>
    <definedName name="Contrats" localSheetId="6">[2]Diag_tech!#REF!</definedName>
    <definedName name="Contrats" localSheetId="8">#REF!</definedName>
    <definedName name="Contrats" localSheetId="3">[2]Diag_tech!#REF!</definedName>
    <definedName name="Contrats" localSheetId="7">[2]Diag_tech!#REF!</definedName>
    <definedName name="Contrats" localSheetId="2">#REF!</definedName>
    <definedName name="Contrats" localSheetId="1">#REF!</definedName>
    <definedName name="Contrats">#REF!</definedName>
    <definedName name="CoutUnitaire" localSheetId="4">'[2]Couts unitaires'!$A:$C</definedName>
    <definedName name="CoutUnitaire" localSheetId="6">'[2]Couts unitaires'!$A:$C</definedName>
    <definedName name="CoutUnitaire" localSheetId="8">#REF!</definedName>
    <definedName name="CoutUnitaire" localSheetId="3">'[2]Couts unitaires'!$A:$C</definedName>
    <definedName name="CoutUnitaire" localSheetId="7">'[2]Couts unitaires'!$A:$C</definedName>
    <definedName name="CoutUnitaire" localSheetId="2">#REF!</definedName>
    <definedName name="CoutUnitaire" localSheetId="1">#REF!</definedName>
    <definedName name="CoutUnitaire">#REF!</definedName>
    <definedName name="debut_p" localSheetId="5">'[3]Hyp. de base'!$C$48</definedName>
    <definedName name="debut_p" localSheetId="8">'[3]Hyp. de base'!$C$48</definedName>
    <definedName name="debut_p">'[4]Hyp. de base'!$C$48</definedName>
    <definedName name="debut_r" localSheetId="5">'[3]Hyp. de base'!$C$46</definedName>
    <definedName name="debut_r" localSheetId="8">'[3]Hyp. de base'!$C$46</definedName>
    <definedName name="debut_r">'[4]Hyp. de base'!$C$46</definedName>
    <definedName name="Duree_dette_max" localSheetId="5">'[3]Hyp. de base'!$C$43</definedName>
    <definedName name="Duree_dette_max" localSheetId="8">'[3]Hyp. de base'!$C$43</definedName>
    <definedName name="Duree_dette_max">'[4]Hyp. de base'!$C$43</definedName>
    <definedName name="fin_p" localSheetId="5">'[3]Hyp. de base'!$C$49</definedName>
    <definedName name="fin_p" localSheetId="8">'[3]Hyp. de base'!$C$49</definedName>
    <definedName name="fin_p">'[4]Hyp. de base'!$C$49</definedName>
    <definedName name="fin_r" localSheetId="5">'[3]Hyp. de base'!$C$47</definedName>
    <definedName name="fin_r" localSheetId="8">'[3]Hyp. de base'!$C$47</definedName>
    <definedName name="fin_r">'[4]Hyp. de base'!$C$47</definedName>
    <definedName name="Fonction" localSheetId="4">[2]Paramètres!$B$1:$B$6</definedName>
    <definedName name="Fonction" localSheetId="6">[2]Paramètres!$B$1:$B$6</definedName>
    <definedName name="Fonction" localSheetId="8">Liste_services!#REF!</definedName>
    <definedName name="Fonction" localSheetId="3">[2]Paramètres!$B$1:$B$6</definedName>
    <definedName name="Fonction" localSheetId="7">[2]Paramètres!$B$1:$B$6</definedName>
    <definedName name="Fonction" localSheetId="2">Liste_services!#REF!</definedName>
    <definedName name="Fonction" localSheetId="1">Liste_services!#REF!</definedName>
    <definedName name="Fonction">Liste_services!#REF!</definedName>
    <definedName name="ListeCollectivité">[5]Paramètres!$B:$B</definedName>
    <definedName name="Longueur_reseau" localSheetId="4">#REF!</definedName>
    <definedName name="Longueur_reseau" localSheetId="8">#REF!</definedName>
    <definedName name="Longueur_reseau" localSheetId="3">#REF!</definedName>
    <definedName name="Longueur_reseau" localSheetId="2">#REF!</definedName>
    <definedName name="Longueur_reseau" localSheetId="1">#REF!</definedName>
    <definedName name="Longueur_reseau">#REF!</definedName>
    <definedName name="Mauvais" localSheetId="4">'[1]Paramètres TdB'!$F$5</definedName>
    <definedName name="Mauvais" localSheetId="6">'[1]Paramètres TdB'!$F$5</definedName>
    <definedName name="Mauvais" localSheetId="3">'[1]Paramètres TdB'!$F$5</definedName>
    <definedName name="Mauvais" localSheetId="7">'[1]Paramètres TdB'!$F$5</definedName>
    <definedName name="Mauvais">'[1]Paramètres TdB'!$F$5</definedName>
    <definedName name="Moyen" localSheetId="4">'[1]Paramètres TdB'!$E$5</definedName>
    <definedName name="Moyen" localSheetId="6">'[1]Paramètres TdB'!$E$5</definedName>
    <definedName name="Moyen" localSheetId="3">'[1]Paramètres TdB'!$E$5</definedName>
    <definedName name="Moyen" localSheetId="7">'[1]Paramètres TdB'!$E$5</definedName>
    <definedName name="Moyen">'[1]Paramètres TdB'!$E$5</definedName>
    <definedName name="nb_de_collectivités" localSheetId="4">#REF!</definedName>
    <definedName name="nb_de_collectivités" localSheetId="6">#REF!</definedName>
    <definedName name="nb_de_collectivités" localSheetId="8">#REF!</definedName>
    <definedName name="nb_de_collectivités" localSheetId="3">#REF!</definedName>
    <definedName name="nb_de_collectivités" localSheetId="7">#REF!</definedName>
    <definedName name="nb_de_collectivités" localSheetId="2">#REF!</definedName>
    <definedName name="nb_de_collectivités" localSheetId="1">#REF!</definedName>
    <definedName name="nb_de_collectivités">#REF!</definedName>
    <definedName name="nb_de_collectivités1">#REF!</definedName>
    <definedName name="Nom_Contrat" localSheetId="4">'[2]Synthèse contrat'!$A$10</definedName>
    <definedName name="Nom_Contrat" localSheetId="6">'[2]Synthèse contrat'!$A$10</definedName>
    <definedName name="Nom_Contrat" localSheetId="3">'[2]Synthèse contrat'!$A$10</definedName>
    <definedName name="Nom_Contrat" localSheetId="7">'[2]Synthèse contrat'!$A$10</definedName>
    <definedName name="Nom_Contrat" localSheetId="2">Synthèse_ass!#REF!</definedName>
    <definedName name="Nom_Contrat" localSheetId="1">Synthèse_eau!#REF!</definedName>
    <definedName name="Nom_Contrat">#REF!</definedName>
    <definedName name="Nom_service" localSheetId="2">Synthèse_ass!$B$3</definedName>
    <definedName name="Nom_service" localSheetId="1">Synthèse_eau!$B$3</definedName>
    <definedName name="Nom_service">#REF!</definedName>
    <definedName name="NomCoutUnitaire" localSheetId="4">'[2]Couts unitaires'!$A$2:$A$9</definedName>
    <definedName name="NomCoutUnitaire" localSheetId="6">'[2]Couts unitaires'!$A$2:$A$9</definedName>
    <definedName name="NomCoutUnitaire" localSheetId="8">#REF!</definedName>
    <definedName name="NomCoutUnitaire" localSheetId="3">'[2]Couts unitaires'!$A$2:$A$9</definedName>
    <definedName name="NomCoutUnitaire" localSheetId="7">'[2]Couts unitaires'!$A$2:$A$9</definedName>
    <definedName name="NomCoutUnitaire" localSheetId="2">#REF!</definedName>
    <definedName name="NomCoutUnitaire" localSheetId="1">#REF!</definedName>
    <definedName name="NomCoutUnitaire">#REF!</definedName>
    <definedName name="Réseau" localSheetId="4">[1]Réseau!$C$1:OFFSET([1]Réseau!$I$1,COUNT([1]Réseau!$A:$A)-1,0)</definedName>
    <definedName name="Réseau" localSheetId="6">[1]Réseau!$C$1:OFFSET([1]Réseau!$I$1,COUNT([1]Réseau!$A:$A)-1,0)</definedName>
    <definedName name="Réseau" localSheetId="3">[1]Réseau!$C$1:OFFSET([1]Réseau!$I$1,COUNT([1]Réseau!$A:$A)-1,0)</definedName>
    <definedName name="Réseau" localSheetId="7">[1]Réseau!$C$1:OFFSET([1]Réseau!$I$1,COUNT([1]Réseau!$A:$A)-1,0)</definedName>
    <definedName name="Réseau">[1]Réseau!$C$1:OFFSET([1]Réseau!$I$1,COUNT([1]Réseau!$A:$A)-1,0)</definedName>
    <definedName name="Sécuritée_activée" localSheetId="4">#REF!</definedName>
    <definedName name="Sécuritée_activée" localSheetId="8">#REF!</definedName>
    <definedName name="Sécuritée_activée" localSheetId="3">#REF!</definedName>
    <definedName name="Sécuritée_activée" localSheetId="2">#REF!</definedName>
    <definedName name="Sécuritée_activée" localSheetId="1">#REF!</definedName>
    <definedName name="Sécuritée_activée">#REF!</definedName>
    <definedName name="Stable" localSheetId="4">'[1]Paramètres TdB'!$E$4</definedName>
    <definedName name="Stable" localSheetId="6">'[1]Paramètres TdB'!$E$4</definedName>
    <definedName name="Stable" localSheetId="3">'[1]Paramètres TdB'!$E$4</definedName>
    <definedName name="Stable" localSheetId="7">'[1]Paramètres TdB'!$E$4</definedName>
    <definedName name="Stable">'[1]Paramètres TdB'!$E$4</definedName>
    <definedName name="TCD_CARE" localSheetId="4">[2]CARE!$A$66:$B$66,[2]CARE!$A$68:$K$85</definedName>
    <definedName name="TCD_CARE" localSheetId="6">[2]CARE!$A$66:$B$66,[2]CARE!$A$68:$K$85</definedName>
    <definedName name="TCD_CARE" localSheetId="8">#REF!,#REF!</definedName>
    <definedName name="TCD_CARE" localSheetId="3">[2]CARE!$A$66:$B$66,[2]CARE!$A$68:$K$85</definedName>
    <definedName name="TCD_CARE" localSheetId="7">[2]CARE!$A$66:$B$66,[2]CARE!$A$68:$K$85</definedName>
    <definedName name="TCD_CARE" localSheetId="2">#REF!,#REF!</definedName>
    <definedName name="TCD_CARE" localSheetId="1">#REF!,#REF!</definedName>
    <definedName name="TCD_CARE">#REF!,#REF!</definedName>
    <definedName name="TCD_CARE1">#REF!,#REF!</definedName>
    <definedName name="TCD_technique" localSheetId="4">#REF!</definedName>
    <definedName name="TCD_technique" localSheetId="8">#REF!</definedName>
    <definedName name="TCD_technique" localSheetId="3">#REF!</definedName>
    <definedName name="TCD_technique" localSheetId="2">#REF!</definedName>
    <definedName name="TCD_technique" localSheetId="1">#REF!</definedName>
    <definedName name="TCD_technique">#REF!</definedName>
    <definedName name="Tx_Inflation" localSheetId="4">#REF!</definedName>
    <definedName name="Tx_Inflation" localSheetId="6">#REF!</definedName>
    <definedName name="Tx_Inflation" localSheetId="8">#REF!</definedName>
    <definedName name="Tx_Inflation" localSheetId="3">#REF!</definedName>
    <definedName name="Tx_Inflation" localSheetId="7">#REF!</definedName>
    <definedName name="Tx_Inflation" localSheetId="2">#REF!</definedName>
    <definedName name="Tx_Inflation" localSheetId="1">#REF!</definedName>
    <definedName name="Tx_Inflation">#REF!</definedName>
    <definedName name="Z_4518AEAE_0338_44F7_B13D_6FFB345CA99A_.wvu.FilterData" localSheetId="2" hidden="1">Synthèse_ass!#REF!</definedName>
    <definedName name="Z_4518AEAE_0338_44F7_B13D_6FFB345CA99A_.wvu.FilterData" localSheetId="1" hidden="1">Synthèse_eau!#REF!</definedName>
    <definedName name="Z_4518AEAE_0338_44F7_B13D_6FFB345CA99A_.wvu.PrintArea" localSheetId="2" hidden="1">Synthèse_ass!$B$5:$H$96</definedName>
    <definedName name="Z_4518AEAE_0338_44F7_B13D_6FFB345CA99A_.wvu.PrintArea" localSheetId="1" hidden="1">Synthèse_eau!$B$5:$H$92</definedName>
    <definedName name="Z_E300E0FD_4796_42CC_8689_AD87B5D20A44_.wvu.FilterData" localSheetId="2" hidden="1">Synthèse_ass!#REF!</definedName>
    <definedName name="Z_E300E0FD_4796_42CC_8689_AD87B5D20A44_.wvu.FilterData" localSheetId="1" hidden="1">Synthèse_eau!#REF!</definedName>
    <definedName name="Z_E300E0FD_4796_42CC_8689_AD87B5D20A44_.wvu.PrintArea" localSheetId="2" hidden="1">Synthèse_ass!$B$5:$H$96</definedName>
    <definedName name="Z_E300E0FD_4796_42CC_8689_AD87B5D20A44_.wvu.PrintArea" localSheetId="1" hidden="1">Synthèse_eau!$B$5:$H$92</definedName>
    <definedName name="_xlnm.Print_Area" localSheetId="4">'Assainissement_technique '!$A$2:$AD$21</definedName>
    <definedName name="_xlnm.Print_Area" localSheetId="6">Eau_technique!$A$2:$BD$19</definedName>
    <definedName name="_xlnm.Print_Area" localSheetId="2">Synthèse_ass!$B$3:$K$68</definedName>
    <definedName name="_xlnm.Print_Area" localSheetId="1">Synthèse_eau!$B$3:$M$64</definedName>
  </definedNames>
  <calcPr calcId="145621"/>
  <customWorkbookViews>
    <customWorkbookView name="Matthieu MG. Galaup - Affichage personnalisé" guid="{4518AEAE-0338-44F7-B13D-6FFB345CA99A}" autoUpdate="1" mergeInterval="5" personalView="1" maximized="1" windowWidth="1276" windowHeight="779" tabRatio="909" activeSheetId="14"/>
    <customWorkbookView name="Mathieu CANGUILHEM - Affichage personnalisé" guid="{E300E0FD-4796-42CC-8689-AD87B5D20A44}" mergeInterval="0" personalView="1" maximized="1" windowWidth="1366" windowHeight="582" tabRatio="909" activeSheetId="14"/>
  </customWorkbookViews>
</workbook>
</file>

<file path=xl/calcChain.xml><?xml version="1.0" encoding="utf-8"?>
<calcChain xmlns="http://schemas.openxmlformats.org/spreadsheetml/2006/main">
  <c r="T16" i="47" l="1"/>
  <c r="R17" i="47"/>
  <c r="R18" i="47"/>
  <c r="R16" i="47"/>
  <c r="T4" i="47"/>
  <c r="T5" i="47"/>
  <c r="T6" i="47"/>
  <c r="T7" i="47"/>
  <c r="T8" i="47"/>
  <c r="T9" i="47"/>
  <c r="T10" i="47"/>
  <c r="T11" i="47"/>
  <c r="T12" i="47"/>
  <c r="T13" i="47"/>
  <c r="T14" i="47"/>
  <c r="T15" i="47"/>
  <c r="T17" i="47"/>
  <c r="T18" i="47"/>
  <c r="T3" i="47"/>
  <c r="S4" i="47"/>
  <c r="S5" i="47"/>
  <c r="S6" i="47"/>
  <c r="S7" i="47"/>
  <c r="S8" i="47"/>
  <c r="S9" i="47"/>
  <c r="S10" i="47"/>
  <c r="S11" i="47"/>
  <c r="S12" i="47"/>
  <c r="S13" i="47"/>
  <c r="S14" i="47"/>
  <c r="S15" i="47"/>
  <c r="S16" i="47"/>
  <c r="S17" i="47"/>
  <c r="S18" i="47"/>
  <c r="S3" i="47"/>
  <c r="R4" i="47"/>
  <c r="R5" i="47"/>
  <c r="R6" i="47"/>
  <c r="R7" i="47"/>
  <c r="R8" i="47"/>
  <c r="R9" i="47"/>
  <c r="R10" i="47"/>
  <c r="R11" i="47"/>
  <c r="R12" i="47"/>
  <c r="R13" i="47"/>
  <c r="R14" i="47"/>
  <c r="R15" i="47"/>
  <c r="R3" i="47"/>
  <c r="Q4" i="47"/>
  <c r="Q5" i="47"/>
  <c r="Q6" i="47"/>
  <c r="Q7" i="47"/>
  <c r="Q8" i="47"/>
  <c r="Q9" i="47"/>
  <c r="Q10" i="47"/>
  <c r="Q11" i="47"/>
  <c r="Q12" i="47"/>
  <c r="Q13" i="47"/>
  <c r="Q14" i="47"/>
  <c r="Q15" i="47"/>
  <c r="Q16" i="47"/>
  <c r="Q17" i="47"/>
  <c r="Q18" i="47"/>
  <c r="Q3" i="47"/>
  <c r="BF19" i="50" l="1"/>
  <c r="BF18" i="50"/>
  <c r="BF16" i="50"/>
  <c r="BF13" i="50"/>
  <c r="BF10" i="50"/>
  <c r="BF8" i="50"/>
  <c r="BF7" i="50"/>
  <c r="BF6" i="50"/>
  <c r="BF5" i="50"/>
  <c r="BG4" i="50"/>
  <c r="F27" i="69"/>
  <c r="F5" i="69"/>
  <c r="AP5" i="50" l="1"/>
  <c r="AN8" i="50" l="1"/>
  <c r="AM8" i="50"/>
  <c r="H26" i="68"/>
  <c r="AD13" i="57"/>
  <c r="AY11" i="57" l="1"/>
  <c r="H43" i="69"/>
  <c r="H46" i="69"/>
  <c r="AG15" i="51" l="1"/>
  <c r="AG9" i="51"/>
  <c r="P7" i="51"/>
  <c r="AG4" i="51"/>
  <c r="P4" i="51"/>
  <c r="O17" i="55"/>
  <c r="Q15" i="55"/>
  <c r="Q12" i="55"/>
  <c r="R12" i="55" s="1"/>
  <c r="Q9" i="55"/>
  <c r="O9" i="55"/>
  <c r="O7" i="55"/>
  <c r="AI5" i="51" l="1"/>
  <c r="AI6" i="51"/>
  <c r="AI7" i="51"/>
  <c r="AI8" i="51"/>
  <c r="AI10" i="51"/>
  <c r="AI11" i="51"/>
  <c r="AI12" i="51"/>
  <c r="AI13" i="51"/>
  <c r="AI14" i="51"/>
  <c r="AI16" i="51"/>
  <c r="AI17" i="51"/>
  <c r="AI18" i="51"/>
  <c r="AI3" i="51"/>
  <c r="S4" i="55"/>
  <c r="S5" i="55"/>
  <c r="S6" i="55"/>
  <c r="S7" i="55"/>
  <c r="S8" i="55"/>
  <c r="S9" i="55"/>
  <c r="S10" i="55"/>
  <c r="S11" i="55"/>
  <c r="S12" i="55"/>
  <c r="S13" i="55"/>
  <c r="S14" i="55"/>
  <c r="S15" i="55"/>
  <c r="S16" i="55"/>
  <c r="S3" i="55"/>
  <c r="H45" i="69"/>
  <c r="G48" i="69"/>
  <c r="AB12" i="50" l="1"/>
  <c r="P12" i="51" l="1"/>
  <c r="D7" i="57" l="1"/>
  <c r="G7" i="57"/>
  <c r="AD14" i="57" l="1"/>
  <c r="AD11" i="57"/>
  <c r="AD10" i="57" l="1"/>
  <c r="AD8" i="57"/>
  <c r="F5" i="57"/>
  <c r="M17" i="50"/>
  <c r="G17" i="50"/>
  <c r="J12" i="50" l="1"/>
  <c r="I48" i="69"/>
  <c r="K43" i="69"/>
  <c r="H36" i="69"/>
  <c r="K32" i="69"/>
  <c r="K31" i="69"/>
  <c r="H34" i="69"/>
  <c r="H32" i="69"/>
  <c r="H31" i="69"/>
  <c r="I26" i="69"/>
  <c r="K23" i="69"/>
  <c r="G23" i="69"/>
  <c r="F33" i="69"/>
  <c r="F31" i="69"/>
  <c r="C31" i="69"/>
  <c r="F29" i="69"/>
  <c r="C40" i="69"/>
  <c r="C36" i="69"/>
  <c r="C33" i="69"/>
  <c r="C29" i="69"/>
  <c r="F25" i="69"/>
  <c r="F24" i="69"/>
  <c r="F18" i="69"/>
  <c r="F16" i="69"/>
  <c r="F13" i="69"/>
  <c r="F11" i="69"/>
  <c r="F9" i="69"/>
  <c r="F7" i="69"/>
  <c r="C22" i="69"/>
  <c r="C15" i="69"/>
  <c r="C13" i="69"/>
  <c r="C11" i="69"/>
  <c r="C9" i="69"/>
  <c r="C7" i="69"/>
  <c r="G3" i="68"/>
  <c r="G4" i="50" l="1"/>
  <c r="I4" i="53" l="1"/>
  <c r="I5" i="53"/>
  <c r="I6" i="53"/>
  <c r="I7" i="53"/>
  <c r="I8" i="53"/>
  <c r="I9" i="53"/>
  <c r="I10" i="53"/>
  <c r="I11" i="53"/>
  <c r="I12" i="53"/>
  <c r="I13" i="53"/>
  <c r="I14" i="53"/>
  <c r="I15" i="53"/>
  <c r="I16" i="53"/>
  <c r="I17" i="53"/>
  <c r="I18" i="53"/>
  <c r="I3" i="53"/>
  <c r="J6" i="66"/>
  <c r="J4" i="66"/>
  <c r="J7" i="66"/>
  <c r="J8" i="66"/>
  <c r="J9" i="66"/>
  <c r="J10" i="66"/>
  <c r="J11" i="66"/>
  <c r="J12" i="66"/>
  <c r="J13" i="66"/>
  <c r="J14" i="66"/>
  <c r="J15" i="66"/>
  <c r="J16" i="66"/>
  <c r="J17" i="66"/>
  <c r="J18" i="66"/>
  <c r="O16" i="51" l="1"/>
  <c r="AV17" i="50" l="1"/>
  <c r="AB17" i="50"/>
  <c r="Y17" i="50"/>
  <c r="W17" i="50"/>
  <c r="W18" i="50"/>
  <c r="AE15" i="57"/>
  <c r="R15" i="55"/>
  <c r="AE14" i="57" l="1"/>
  <c r="H14" i="57"/>
  <c r="G14" i="57"/>
  <c r="W13" i="50"/>
  <c r="I13" i="50"/>
  <c r="V12" i="57"/>
  <c r="H12" i="57"/>
  <c r="G12" i="57"/>
  <c r="AE10" i="57" l="1"/>
  <c r="G10" i="57"/>
  <c r="AE8" i="57" l="1"/>
  <c r="H8" i="57"/>
  <c r="G8" i="57"/>
  <c r="R8" i="55"/>
  <c r="V7" i="57" l="1"/>
  <c r="R7" i="55"/>
  <c r="I7" i="50" l="1"/>
  <c r="W7" i="50" s="1"/>
  <c r="P19" i="47"/>
  <c r="O19" i="47"/>
  <c r="D18" i="47" l="1"/>
  <c r="C19" i="47"/>
  <c r="S5" i="57" l="1"/>
  <c r="S6" i="57"/>
  <c r="S7" i="57"/>
  <c r="H5" i="57"/>
  <c r="G5" i="57"/>
  <c r="R5" i="55"/>
  <c r="H4" i="57" l="1"/>
  <c r="G4" i="57"/>
  <c r="D4" i="57"/>
  <c r="AS13" i="57" l="1"/>
  <c r="AE13" i="57"/>
  <c r="W13" i="60"/>
  <c r="U13" i="60"/>
  <c r="H13" i="57"/>
  <c r="G13" i="57"/>
  <c r="E4" i="57"/>
  <c r="E5" i="57"/>
  <c r="E6" i="57"/>
  <c r="E7" i="57"/>
  <c r="E8" i="57"/>
  <c r="E9" i="57"/>
  <c r="E10" i="57"/>
  <c r="E11" i="57"/>
  <c r="E12" i="57"/>
  <c r="E13" i="57"/>
  <c r="E14" i="57"/>
  <c r="E15" i="57"/>
  <c r="E16" i="57"/>
  <c r="D14" i="47" l="1"/>
  <c r="J5" i="47"/>
  <c r="D3" i="47"/>
  <c r="AV18" i="50"/>
  <c r="AW18" i="50" s="1"/>
  <c r="AW17" i="50"/>
  <c r="AX17" i="50" s="1"/>
  <c r="AV16" i="50"/>
  <c r="AW16" i="50" s="1"/>
  <c r="AV15" i="50"/>
  <c r="AW15" i="50" s="1"/>
  <c r="AV14" i="50"/>
  <c r="AW14" i="50" s="1"/>
  <c r="AV13" i="50"/>
  <c r="AW13" i="50" s="1"/>
  <c r="AV12" i="50"/>
  <c r="AW12" i="50" s="1"/>
  <c r="AV11" i="50"/>
  <c r="AW11" i="50" s="1"/>
  <c r="AV10" i="50"/>
  <c r="AW10" i="50" s="1"/>
  <c r="AV9" i="50"/>
  <c r="AW9" i="50" s="1"/>
  <c r="AV8" i="50"/>
  <c r="AW8" i="50" s="1"/>
  <c r="AV7" i="50"/>
  <c r="AW7" i="50" s="1"/>
  <c r="AV6" i="50"/>
  <c r="AW6" i="50" s="1"/>
  <c r="AV5" i="50"/>
  <c r="AW5" i="50" s="1"/>
  <c r="AV4" i="50"/>
  <c r="AW4" i="50" s="1"/>
  <c r="AI18" i="50"/>
  <c r="AI17" i="50"/>
  <c r="AI16" i="50"/>
  <c r="AI15" i="50"/>
  <c r="AI14" i="50"/>
  <c r="AI13" i="50"/>
  <c r="AI12" i="50"/>
  <c r="AI11" i="50"/>
  <c r="AI10" i="50"/>
  <c r="AI9" i="50"/>
  <c r="AI8" i="50"/>
  <c r="AI7" i="50"/>
  <c r="AI6" i="50"/>
  <c r="AI5" i="50"/>
  <c r="AI4" i="50"/>
  <c r="AB4" i="50"/>
  <c r="W4" i="50"/>
  <c r="G3" i="57"/>
  <c r="E3" i="57"/>
  <c r="D3" i="57"/>
  <c r="H3" i="57" s="1"/>
  <c r="J3" i="59" l="1"/>
  <c r="E17" i="50" l="1"/>
  <c r="A13" i="67"/>
  <c r="A3" i="67"/>
  <c r="A8" i="67"/>
  <c r="A5" i="67"/>
  <c r="A14" i="67"/>
  <c r="A10" i="67"/>
  <c r="A6" i="67"/>
  <c r="A18" i="67"/>
  <c r="A12" i="67"/>
  <c r="A4" i="67"/>
  <c r="A15" i="67"/>
  <c r="A9" i="67"/>
  <c r="A7" i="67"/>
  <c r="A19" i="67"/>
  <c r="A16" i="67"/>
  <c r="A17" i="67"/>
  <c r="A11" i="67"/>
  <c r="I40" i="68" l="1"/>
  <c r="I38" i="68"/>
  <c r="I39" i="68"/>
  <c r="G145" i="69"/>
  <c r="S48" i="69"/>
  <c r="AO47" i="69"/>
  <c r="AN47" i="69"/>
  <c r="AM47" i="69"/>
  <c r="AL47" i="69"/>
  <c r="AK47" i="69"/>
  <c r="AJ47" i="69"/>
  <c r="AI47" i="69"/>
  <c r="AH47" i="69"/>
  <c r="AG47" i="69"/>
  <c r="AF47" i="69"/>
  <c r="AO46" i="69"/>
  <c r="AN46" i="69"/>
  <c r="AM46" i="69"/>
  <c r="AL46" i="69"/>
  <c r="AK46" i="69"/>
  <c r="AJ46" i="69"/>
  <c r="AI46" i="69"/>
  <c r="AH46" i="69"/>
  <c r="AG46" i="69"/>
  <c r="AF46" i="69"/>
  <c r="Z28" i="69"/>
  <c r="Y28" i="69"/>
  <c r="W28" i="69"/>
  <c r="V28" i="69"/>
  <c r="U28" i="69"/>
  <c r="T28" i="69"/>
  <c r="S28" i="69"/>
  <c r="AB19" i="69"/>
  <c r="X19" i="69"/>
  <c r="AB17" i="69"/>
  <c r="X17" i="69"/>
  <c r="AB15" i="69"/>
  <c r="X15" i="69"/>
  <c r="AB13" i="69"/>
  <c r="X13" i="69"/>
  <c r="G3" i="69"/>
  <c r="G141" i="68"/>
  <c r="U47" i="68"/>
  <c r="AQ46" i="68"/>
  <c r="AP46" i="68"/>
  <c r="AO46" i="68"/>
  <c r="AN46" i="68"/>
  <c r="AM46" i="68"/>
  <c r="AL46" i="68"/>
  <c r="AK46" i="68"/>
  <c r="AJ46" i="68"/>
  <c r="AI46" i="68"/>
  <c r="AH46" i="68"/>
  <c r="AQ44" i="68"/>
  <c r="AP44" i="68"/>
  <c r="AO44" i="68"/>
  <c r="AN44" i="68"/>
  <c r="AM44" i="68"/>
  <c r="AL44" i="68"/>
  <c r="AK44" i="68"/>
  <c r="AJ44" i="68"/>
  <c r="AI44" i="68"/>
  <c r="AH44" i="68"/>
  <c r="AB27" i="68"/>
  <c r="AA27" i="68"/>
  <c r="Y27" i="68"/>
  <c r="X27" i="68"/>
  <c r="W27" i="68"/>
  <c r="V27" i="68"/>
  <c r="U27" i="68"/>
  <c r="AD22" i="68"/>
  <c r="Z22" i="68"/>
  <c r="AD20" i="68"/>
  <c r="Z20" i="68"/>
  <c r="AD18" i="68"/>
  <c r="Z18" i="68"/>
  <c r="AD16" i="68"/>
  <c r="Z16" i="68"/>
  <c r="X28" i="69" l="1"/>
  <c r="Z27" i="68"/>
  <c r="T13" i="51"/>
  <c r="T3" i="51"/>
  <c r="T8" i="51"/>
  <c r="T5" i="51"/>
  <c r="T14" i="51"/>
  <c r="T10" i="51"/>
  <c r="T6" i="51"/>
  <c r="T17" i="51"/>
  <c r="T12" i="51"/>
  <c r="T4" i="51"/>
  <c r="AI4" i="51" s="1"/>
  <c r="T15" i="51"/>
  <c r="AI15" i="51" s="1"/>
  <c r="T9" i="51"/>
  <c r="AI9" i="51" s="1"/>
  <c r="T7" i="51"/>
  <c r="T18" i="51"/>
  <c r="T16" i="51"/>
  <c r="T11" i="51"/>
  <c r="V9" i="51" l="1"/>
  <c r="V18" i="51"/>
  <c r="V7" i="51"/>
  <c r="V12" i="51"/>
  <c r="V5" i="51"/>
  <c r="V16" i="51"/>
  <c r="V15" i="51"/>
  <c r="B17" i="47"/>
  <c r="I19" i="47"/>
  <c r="H19" i="47"/>
  <c r="J17" i="47"/>
  <c r="A17" i="47"/>
  <c r="Q17" i="55"/>
  <c r="S17" i="55" s="1"/>
  <c r="A16" i="51"/>
  <c r="A18" i="51"/>
  <c r="AV19" i="50"/>
  <c r="AW19" i="50" s="1"/>
  <c r="AI19" i="50"/>
  <c r="S19" i="50"/>
  <c r="K19" i="50"/>
  <c r="D17" i="47" l="1"/>
  <c r="B19" i="47"/>
  <c r="E12" i="50"/>
  <c r="E14" i="50"/>
  <c r="E16" i="50"/>
  <c r="E15" i="50"/>
  <c r="E11" i="50"/>
  <c r="E18" i="50"/>
  <c r="E13" i="50"/>
  <c r="R17" i="55" l="1"/>
  <c r="A13" i="55"/>
  <c r="A3" i="55"/>
  <c r="A8" i="55"/>
  <c r="A5" i="55"/>
  <c r="A14" i="55"/>
  <c r="A10" i="55"/>
  <c r="A6" i="55"/>
  <c r="A16" i="55"/>
  <c r="A12" i="55"/>
  <c r="A4" i="55"/>
  <c r="A15" i="55"/>
  <c r="A9" i="55"/>
  <c r="A7" i="55"/>
  <c r="A17" i="55"/>
  <c r="A13" i="57"/>
  <c r="A3" i="57"/>
  <c r="A8" i="57"/>
  <c r="A5" i="57"/>
  <c r="A14" i="57"/>
  <c r="A10" i="57"/>
  <c r="A6" i="57"/>
  <c r="A16" i="57"/>
  <c r="A12" i="57"/>
  <c r="A4" i="57"/>
  <c r="A15" i="57"/>
  <c r="A9" i="57"/>
  <c r="A7" i="57"/>
  <c r="A17" i="57"/>
  <c r="W17" i="57"/>
  <c r="F17" i="57"/>
  <c r="H17" i="57" s="1"/>
  <c r="G17" i="57"/>
  <c r="E17" i="57"/>
  <c r="D17" i="57" l="1"/>
  <c r="S17" i="57"/>
  <c r="S52" i="69" l="1"/>
  <c r="AC18" i="66"/>
  <c r="A18" i="66"/>
  <c r="AC17" i="66"/>
  <c r="A17" i="66"/>
  <c r="AC16" i="66"/>
  <c r="A16" i="66"/>
  <c r="AC15" i="66"/>
  <c r="A15" i="66"/>
  <c r="AC14" i="66"/>
  <c r="A14" i="66"/>
  <c r="AC13" i="66"/>
  <c r="A13" i="66"/>
  <c r="AC12" i="66"/>
  <c r="A12" i="66"/>
  <c r="AC11" i="66"/>
  <c r="A11" i="66"/>
  <c r="AC10" i="66"/>
  <c r="A10" i="66"/>
  <c r="AC9" i="66"/>
  <c r="A9" i="66"/>
  <c r="AC8" i="66"/>
  <c r="A8" i="66"/>
  <c r="AC7" i="66"/>
  <c r="A7" i="66"/>
  <c r="AC6" i="66"/>
  <c r="A6" i="66"/>
  <c r="AC5" i="66"/>
  <c r="A5" i="66"/>
  <c r="AC4" i="66"/>
  <c r="A4" i="66"/>
  <c r="AC3" i="66"/>
  <c r="A3" i="66"/>
  <c r="H15" i="68" l="1"/>
  <c r="H18" i="68"/>
  <c r="J10" i="68"/>
  <c r="H10" i="68"/>
  <c r="H17" i="68"/>
  <c r="J9" i="68"/>
  <c r="H9" i="68"/>
  <c r="J8" i="68"/>
  <c r="H13" i="68"/>
  <c r="I10" i="68"/>
  <c r="H16" i="68"/>
  <c r="I9" i="68"/>
  <c r="I8" i="68"/>
  <c r="H19" i="68"/>
  <c r="H8" i="68"/>
  <c r="J6" i="47"/>
  <c r="G47" i="59" l="1"/>
  <c r="G46" i="59"/>
  <c r="G45" i="59"/>
  <c r="G44" i="59"/>
  <c r="G43" i="59"/>
  <c r="G42" i="59"/>
  <c r="G41" i="59"/>
  <c r="G40" i="59"/>
  <c r="G39" i="59"/>
  <c r="G38" i="59"/>
  <c r="G37" i="59"/>
  <c r="G36" i="59"/>
  <c r="G35" i="59"/>
  <c r="G34" i="59"/>
  <c r="G33" i="59"/>
  <c r="G32" i="59"/>
  <c r="G31" i="59"/>
  <c r="G30" i="59"/>
  <c r="G29" i="59"/>
  <c r="G28" i="59"/>
  <c r="G27" i="59"/>
  <c r="G26" i="59"/>
  <c r="G25" i="59"/>
  <c r="G24" i="59"/>
  <c r="G23" i="59"/>
  <c r="G22" i="59"/>
  <c r="G21" i="59"/>
  <c r="G20" i="59"/>
  <c r="G19" i="59"/>
  <c r="G18" i="59"/>
  <c r="G17" i="59"/>
  <c r="G16" i="59"/>
  <c r="G15" i="59"/>
  <c r="G14" i="59"/>
  <c r="G13" i="59"/>
  <c r="G12" i="59"/>
  <c r="G11" i="59"/>
  <c r="G10" i="59"/>
  <c r="G9" i="59"/>
  <c r="G8" i="59"/>
  <c r="G7" i="59"/>
  <c r="G6" i="59"/>
  <c r="G5" i="59"/>
  <c r="G4" i="59"/>
  <c r="G3" i="59"/>
  <c r="D2" i="59"/>
  <c r="E2" i="59" s="1"/>
  <c r="F2" i="59" s="1"/>
  <c r="C2" i="59"/>
  <c r="G17" i="60"/>
  <c r="G16" i="60"/>
  <c r="G19" i="60"/>
  <c r="G7" i="60"/>
  <c r="G9" i="60"/>
  <c r="G15" i="60"/>
  <c r="G4" i="60"/>
  <c r="G12" i="60"/>
  <c r="G18" i="60"/>
  <c r="G6" i="60"/>
  <c r="G10" i="60"/>
  <c r="G14" i="60"/>
  <c r="G5" i="60"/>
  <c r="G8" i="60"/>
  <c r="G3" i="60"/>
  <c r="G13" i="60"/>
  <c r="G11" i="60"/>
  <c r="C2" i="60"/>
  <c r="D2" i="60" s="1"/>
  <c r="E2" i="60" s="1"/>
  <c r="F2" i="60" s="1"/>
  <c r="BK2" i="59"/>
  <c r="BL2" i="59"/>
  <c r="BM2" i="59"/>
  <c r="BN2" i="59"/>
  <c r="BJ2" i="59"/>
  <c r="BE2" i="59"/>
  <c r="BF2" i="59"/>
  <c r="BG2" i="59"/>
  <c r="BH2" i="59"/>
  <c r="BD2" i="59"/>
  <c r="AY2" i="59"/>
  <c r="AZ2" i="59"/>
  <c r="BA2" i="59"/>
  <c r="BB2" i="59"/>
  <c r="AX2" i="59"/>
  <c r="AS2" i="59"/>
  <c r="AT2" i="59"/>
  <c r="AU2" i="59"/>
  <c r="AV2" i="59"/>
  <c r="AR2" i="59"/>
  <c r="AM2" i="59"/>
  <c r="AN2" i="59"/>
  <c r="AO2" i="59"/>
  <c r="AP2" i="59"/>
  <c r="AL2" i="59"/>
  <c r="AG2" i="59"/>
  <c r="AH2" i="59"/>
  <c r="AI2" i="59"/>
  <c r="AJ2" i="59"/>
  <c r="AF2" i="59"/>
  <c r="AA2" i="59"/>
  <c r="AB2" i="59"/>
  <c r="AC2" i="59"/>
  <c r="AD2" i="59"/>
  <c r="Z2" i="59"/>
  <c r="U2" i="59"/>
  <c r="V2" i="59"/>
  <c r="W2" i="59"/>
  <c r="X2" i="59"/>
  <c r="T2" i="59"/>
  <c r="O2" i="59"/>
  <c r="P2" i="59"/>
  <c r="Q2" i="59"/>
  <c r="R2" i="59"/>
  <c r="N2" i="59"/>
  <c r="J2" i="59"/>
  <c r="K2" i="59" s="1"/>
  <c r="L2" i="59" s="1"/>
  <c r="I2" i="59"/>
  <c r="A23" i="59"/>
  <c r="A24" i="59"/>
  <c r="A25" i="59"/>
  <c r="A26" i="59"/>
  <c r="A27" i="59"/>
  <c r="A28" i="59"/>
  <c r="A29" i="59"/>
  <c r="A30" i="59"/>
  <c r="A31" i="59"/>
  <c r="A32" i="59"/>
  <c r="A33" i="59"/>
  <c r="A34" i="59"/>
  <c r="A35" i="59"/>
  <c r="A36" i="59"/>
  <c r="A37" i="59"/>
  <c r="A38" i="59"/>
  <c r="A39" i="59"/>
  <c r="A40" i="59"/>
  <c r="A41" i="59"/>
  <c r="A42" i="59"/>
  <c r="A43" i="59"/>
  <c r="A44" i="59"/>
  <c r="A45" i="59"/>
  <c r="A13" i="60"/>
  <c r="A3" i="60"/>
  <c r="A8" i="60"/>
  <c r="A5" i="60"/>
  <c r="A14" i="60"/>
  <c r="A10" i="60"/>
  <c r="A6" i="60"/>
  <c r="A18" i="60"/>
  <c r="A12" i="60"/>
  <c r="A4" i="60"/>
  <c r="A15" i="60"/>
  <c r="A9" i="60"/>
  <c r="A7" i="60"/>
  <c r="A19" i="60"/>
  <c r="A16" i="60"/>
  <c r="A17" i="60"/>
  <c r="A11" i="60"/>
  <c r="Z2" i="60"/>
  <c r="AF2" i="60" s="1"/>
  <c r="T2" i="60"/>
  <c r="N2" i="60"/>
  <c r="I2" i="60"/>
  <c r="O2" i="60" s="1"/>
  <c r="U2" i="60" s="1"/>
  <c r="AA2" i="60" s="1"/>
  <c r="AG2" i="60" s="1"/>
  <c r="S11" i="57"/>
  <c r="R14" i="55"/>
  <c r="R10" i="55"/>
  <c r="R6" i="55"/>
  <c r="J11" i="47"/>
  <c r="J2" i="60" l="1"/>
  <c r="A15" i="47"/>
  <c r="A7" i="47"/>
  <c r="A9" i="47"/>
  <c r="A4" i="47"/>
  <c r="A12" i="47"/>
  <c r="A10" i="47"/>
  <c r="A6" i="47"/>
  <c r="A16" i="47"/>
  <c r="A14" i="47"/>
  <c r="A5" i="47"/>
  <c r="A8" i="47"/>
  <c r="A13" i="47"/>
  <c r="A3" i="47"/>
  <c r="A11" i="47"/>
  <c r="C21" i="68" l="1"/>
  <c r="F21" i="68"/>
  <c r="C23" i="68"/>
  <c r="C22" i="68"/>
  <c r="C20" i="69"/>
  <c r="C19" i="69"/>
  <c r="F20" i="69"/>
  <c r="C21" i="69"/>
  <c r="P2" i="60"/>
  <c r="V2" i="60" s="1"/>
  <c r="AB2" i="60" s="1"/>
  <c r="AH2" i="60" s="1"/>
  <c r="K2" i="60"/>
  <c r="A22" i="59"/>
  <c r="A21" i="59"/>
  <c r="A20" i="59"/>
  <c r="A19" i="59"/>
  <c r="A18" i="59"/>
  <c r="A15" i="59"/>
  <c r="A16" i="59"/>
  <c r="A17" i="59"/>
  <c r="A14" i="59"/>
  <c r="A13" i="59"/>
  <c r="A12" i="59"/>
  <c r="A11" i="59"/>
  <c r="A4" i="59"/>
  <c r="A5" i="59"/>
  <c r="A6" i="59"/>
  <c r="A7" i="59"/>
  <c r="A8" i="59"/>
  <c r="A9" i="59"/>
  <c r="A10" i="59"/>
  <c r="A3" i="59"/>
  <c r="A47" i="59"/>
  <c r="A46" i="59"/>
  <c r="L2" i="60" l="1"/>
  <c r="R2" i="60" s="1"/>
  <c r="X2" i="60" s="1"/>
  <c r="AD2" i="60" s="1"/>
  <c r="AJ2" i="60" s="1"/>
  <c r="Q2" i="60"/>
  <c r="W2" i="60" s="1"/>
  <c r="AC2" i="60" s="1"/>
  <c r="AI2" i="60" s="1"/>
  <c r="AK17" i="60" l="1"/>
  <c r="AE17" i="60"/>
  <c r="Y17" i="60"/>
  <c r="S17" i="60"/>
  <c r="M17" i="60"/>
  <c r="AK16" i="60"/>
  <c r="AE16" i="60"/>
  <c r="Y16" i="60"/>
  <c r="S16" i="60"/>
  <c r="M16" i="60"/>
  <c r="AK19" i="60"/>
  <c r="AE19" i="60"/>
  <c r="Y19" i="60"/>
  <c r="S19" i="60"/>
  <c r="M19" i="60"/>
  <c r="AK7" i="60"/>
  <c r="AE7" i="60"/>
  <c r="Y7" i="60"/>
  <c r="S7" i="60"/>
  <c r="M7" i="60"/>
  <c r="AK9" i="60"/>
  <c r="AE9" i="60"/>
  <c r="Y9" i="60"/>
  <c r="S9" i="60"/>
  <c r="M9" i="60"/>
  <c r="AK15" i="60"/>
  <c r="AE15" i="60"/>
  <c r="Y15" i="60"/>
  <c r="S15" i="60"/>
  <c r="M15" i="60"/>
  <c r="AK4" i="60"/>
  <c r="AE4" i="60"/>
  <c r="Y4" i="60"/>
  <c r="S4" i="60"/>
  <c r="M4" i="60"/>
  <c r="AK12" i="60"/>
  <c r="AE12" i="60"/>
  <c r="Y12" i="60"/>
  <c r="S12" i="60"/>
  <c r="M12" i="60"/>
  <c r="AK18" i="60"/>
  <c r="AE18" i="60"/>
  <c r="Y18" i="60"/>
  <c r="S18" i="60"/>
  <c r="M18" i="60"/>
  <c r="AK6" i="60"/>
  <c r="AE6" i="60"/>
  <c r="Y6" i="60"/>
  <c r="M6" i="60"/>
  <c r="AK10" i="60"/>
  <c r="AE10" i="60"/>
  <c r="Y10" i="60"/>
  <c r="S10" i="60"/>
  <c r="M10" i="60"/>
  <c r="AK14" i="60"/>
  <c r="AE14" i="60"/>
  <c r="Y14" i="60"/>
  <c r="S14" i="60"/>
  <c r="M14" i="60"/>
  <c r="AK5" i="60"/>
  <c r="AE5" i="60"/>
  <c r="Y5" i="60"/>
  <c r="S5" i="60"/>
  <c r="M5" i="60"/>
  <c r="AK8" i="60"/>
  <c r="AE8" i="60"/>
  <c r="Y8" i="60"/>
  <c r="S8" i="60"/>
  <c r="M8" i="60"/>
  <c r="AK3" i="60"/>
  <c r="AE3" i="60"/>
  <c r="Y3" i="60"/>
  <c r="S3" i="60"/>
  <c r="M3" i="60"/>
  <c r="AK13" i="60"/>
  <c r="AE13" i="60"/>
  <c r="Y13" i="60"/>
  <c r="S13" i="60"/>
  <c r="M13" i="60"/>
  <c r="AK11" i="60"/>
  <c r="AE11" i="60"/>
  <c r="Y11" i="60"/>
  <c r="S11" i="60"/>
  <c r="M11" i="60"/>
  <c r="BO47" i="59"/>
  <c r="BI47" i="59"/>
  <c r="BC47" i="59"/>
  <c r="AW47" i="59"/>
  <c r="AQ47" i="59"/>
  <c r="AK47" i="59"/>
  <c r="AE47" i="59"/>
  <c r="Y47" i="59"/>
  <c r="S47" i="59"/>
  <c r="M47" i="59"/>
  <c r="BO46" i="59"/>
  <c r="BI46" i="59"/>
  <c r="BC46" i="59"/>
  <c r="AW46" i="59"/>
  <c r="AQ46" i="59"/>
  <c r="AK46" i="59"/>
  <c r="AE46" i="59"/>
  <c r="Y46" i="59"/>
  <c r="S46" i="59"/>
  <c r="M46" i="59"/>
  <c r="BO45" i="59"/>
  <c r="BI45" i="59"/>
  <c r="BC45" i="59"/>
  <c r="AW45" i="59"/>
  <c r="AQ45" i="59"/>
  <c r="AK45" i="59"/>
  <c r="AE45" i="59"/>
  <c r="Y45" i="59"/>
  <c r="S45" i="59"/>
  <c r="M45" i="59"/>
  <c r="BO44" i="59"/>
  <c r="BI44" i="59"/>
  <c r="BC44" i="59"/>
  <c r="AW44" i="59"/>
  <c r="AQ44" i="59"/>
  <c r="AK44" i="59"/>
  <c r="AE44" i="59"/>
  <c r="Y44" i="59"/>
  <c r="S44" i="59"/>
  <c r="M44" i="59"/>
  <c r="BO43" i="59"/>
  <c r="BI43" i="59"/>
  <c r="BC43" i="59"/>
  <c r="AW43" i="59"/>
  <c r="AQ43" i="59"/>
  <c r="AK43" i="59"/>
  <c r="AE43" i="59"/>
  <c r="Y43" i="59"/>
  <c r="S43" i="59"/>
  <c r="M43" i="59"/>
  <c r="BO42" i="59"/>
  <c r="BI42" i="59"/>
  <c r="BC42" i="59"/>
  <c r="AW42" i="59"/>
  <c r="AQ42" i="59"/>
  <c r="AK42" i="59"/>
  <c r="AE42" i="59"/>
  <c r="Y42" i="59"/>
  <c r="S42" i="59"/>
  <c r="M42" i="59"/>
  <c r="BO41" i="59"/>
  <c r="BI41" i="59"/>
  <c r="BC41" i="59"/>
  <c r="AW41" i="59"/>
  <c r="AQ41" i="59"/>
  <c r="AK41" i="59"/>
  <c r="AE41" i="59"/>
  <c r="Y41" i="59"/>
  <c r="S41" i="59"/>
  <c r="M41" i="59"/>
  <c r="BO40" i="59"/>
  <c r="BI40" i="59"/>
  <c r="BC40" i="59"/>
  <c r="AW40" i="59"/>
  <c r="AQ40" i="59"/>
  <c r="AK40" i="59"/>
  <c r="AE40" i="59"/>
  <c r="Y40" i="59"/>
  <c r="S40" i="59"/>
  <c r="M40" i="59"/>
  <c r="BO39" i="59"/>
  <c r="BI39" i="59"/>
  <c r="BC39" i="59"/>
  <c r="AW39" i="59"/>
  <c r="AQ39" i="59"/>
  <c r="AK39" i="59"/>
  <c r="AE39" i="59"/>
  <c r="Y39" i="59"/>
  <c r="S39" i="59"/>
  <c r="M39" i="59"/>
  <c r="BO38" i="59"/>
  <c r="BI38" i="59"/>
  <c r="BC38" i="59"/>
  <c r="AW38" i="59"/>
  <c r="AQ38" i="59"/>
  <c r="AK38" i="59"/>
  <c r="AE38" i="59"/>
  <c r="Y38" i="59"/>
  <c r="S38" i="59"/>
  <c r="M38" i="59"/>
  <c r="BO37" i="59"/>
  <c r="BI37" i="59"/>
  <c r="BC37" i="59"/>
  <c r="AW37" i="59"/>
  <c r="AQ37" i="59"/>
  <c r="AK37" i="59"/>
  <c r="AE37" i="59"/>
  <c r="Y37" i="59"/>
  <c r="S37" i="59"/>
  <c r="M37" i="59"/>
  <c r="BO36" i="59"/>
  <c r="BI36" i="59"/>
  <c r="BC36" i="59"/>
  <c r="AW36" i="59"/>
  <c r="AQ36" i="59"/>
  <c r="AK36" i="59"/>
  <c r="AE36" i="59"/>
  <c r="Y36" i="59"/>
  <c r="S36" i="59"/>
  <c r="M36" i="59"/>
  <c r="BO35" i="59"/>
  <c r="BI35" i="59"/>
  <c r="BC35" i="59"/>
  <c r="AW35" i="59"/>
  <c r="AQ35" i="59"/>
  <c r="AK35" i="59"/>
  <c r="AE35" i="59"/>
  <c r="Y35" i="59"/>
  <c r="S35" i="59"/>
  <c r="M35" i="59"/>
  <c r="BO34" i="59"/>
  <c r="BI34" i="59"/>
  <c r="BC34" i="59"/>
  <c r="AW34" i="59"/>
  <c r="AQ34" i="59"/>
  <c r="AK34" i="59"/>
  <c r="AE34" i="59"/>
  <c r="Y34" i="59"/>
  <c r="S34" i="59"/>
  <c r="M34" i="59"/>
  <c r="BO33" i="59"/>
  <c r="BI33" i="59"/>
  <c r="BC33" i="59"/>
  <c r="AW33" i="59"/>
  <c r="AQ33" i="59"/>
  <c r="AK33" i="59"/>
  <c r="AE33" i="59"/>
  <c r="Y33" i="59"/>
  <c r="S33" i="59"/>
  <c r="M33" i="59"/>
  <c r="BO32" i="59"/>
  <c r="BI32" i="59"/>
  <c r="BC32" i="59"/>
  <c r="AW32" i="59"/>
  <c r="AQ32" i="59"/>
  <c r="AK32" i="59"/>
  <c r="AE32" i="59"/>
  <c r="Y32" i="59"/>
  <c r="S32" i="59"/>
  <c r="M32" i="59"/>
  <c r="BO31" i="59"/>
  <c r="BI31" i="59"/>
  <c r="BC31" i="59"/>
  <c r="AW31" i="59"/>
  <c r="AQ31" i="59"/>
  <c r="AK31" i="59"/>
  <c r="AE31" i="59"/>
  <c r="Y31" i="59"/>
  <c r="S31" i="59"/>
  <c r="M31" i="59"/>
  <c r="BO30" i="59"/>
  <c r="BI30" i="59"/>
  <c r="BC30" i="59"/>
  <c r="AW30" i="59"/>
  <c r="AQ30" i="59"/>
  <c r="AK30" i="59"/>
  <c r="AE30" i="59"/>
  <c r="Y30" i="59"/>
  <c r="S30" i="59"/>
  <c r="M30" i="59"/>
  <c r="BO29" i="59"/>
  <c r="BI29" i="59"/>
  <c r="BC29" i="59"/>
  <c r="AW29" i="59"/>
  <c r="AQ29" i="59"/>
  <c r="AK29" i="59"/>
  <c r="AE29" i="59"/>
  <c r="Y29" i="59"/>
  <c r="S29" i="59"/>
  <c r="M29" i="59"/>
  <c r="BO28" i="59"/>
  <c r="BI28" i="59"/>
  <c r="BC28" i="59"/>
  <c r="AW28" i="59"/>
  <c r="AQ28" i="59"/>
  <c r="AK28" i="59"/>
  <c r="AE28" i="59"/>
  <c r="Y28" i="59"/>
  <c r="S28" i="59"/>
  <c r="M28" i="59"/>
  <c r="BO27" i="59"/>
  <c r="BI27" i="59"/>
  <c r="BC27" i="59"/>
  <c r="AW27" i="59"/>
  <c r="AQ27" i="59"/>
  <c r="AK27" i="59"/>
  <c r="AE27" i="59"/>
  <c r="Y27" i="59"/>
  <c r="S27" i="59"/>
  <c r="M27" i="59"/>
  <c r="BO26" i="59"/>
  <c r="BI26" i="59"/>
  <c r="BC26" i="59"/>
  <c r="AW26" i="59"/>
  <c r="AQ26" i="59"/>
  <c r="AK26" i="59"/>
  <c r="AE26" i="59"/>
  <c r="Y26" i="59"/>
  <c r="S26" i="59"/>
  <c r="M26" i="59"/>
  <c r="BO25" i="59"/>
  <c r="BI25" i="59"/>
  <c r="BC25" i="59"/>
  <c r="AW25" i="59"/>
  <c r="AQ25" i="59"/>
  <c r="AK25" i="59"/>
  <c r="AE25" i="59"/>
  <c r="Y25" i="59"/>
  <c r="S25" i="59"/>
  <c r="M25" i="59"/>
  <c r="BO24" i="59"/>
  <c r="BI24" i="59"/>
  <c r="BC24" i="59"/>
  <c r="AW24" i="59"/>
  <c r="AQ24" i="59"/>
  <c r="AK24" i="59"/>
  <c r="AE24" i="59"/>
  <c r="Y24" i="59"/>
  <c r="S24" i="59"/>
  <c r="M24" i="59"/>
  <c r="BO23" i="59"/>
  <c r="BI23" i="59"/>
  <c r="BC23" i="59"/>
  <c r="AW23" i="59"/>
  <c r="AQ23" i="59"/>
  <c r="AK23" i="59"/>
  <c r="AE23" i="59"/>
  <c r="Y23" i="59"/>
  <c r="S23" i="59"/>
  <c r="M23" i="59"/>
  <c r="BO22" i="59"/>
  <c r="BI22" i="59"/>
  <c r="BC22" i="59"/>
  <c r="AW22" i="59"/>
  <c r="AQ22" i="59"/>
  <c r="AK22" i="59"/>
  <c r="AE22" i="59"/>
  <c r="Y22" i="59"/>
  <c r="S22" i="59"/>
  <c r="M22" i="59"/>
  <c r="BO21" i="59"/>
  <c r="BI21" i="59"/>
  <c r="BC21" i="59"/>
  <c r="AW21" i="59"/>
  <c r="AQ21" i="59"/>
  <c r="AK21" i="59"/>
  <c r="AE21" i="59"/>
  <c r="Y21" i="59"/>
  <c r="S21" i="59"/>
  <c r="M21" i="59"/>
  <c r="BO20" i="59"/>
  <c r="BI20" i="59"/>
  <c r="BC20" i="59"/>
  <c r="AW20" i="59"/>
  <c r="AQ20" i="59"/>
  <c r="AK20" i="59"/>
  <c r="AE20" i="59"/>
  <c r="Y20" i="59"/>
  <c r="S20" i="59"/>
  <c r="M20" i="59"/>
  <c r="BO19" i="59"/>
  <c r="BI19" i="59"/>
  <c r="BC19" i="59"/>
  <c r="AW19" i="59"/>
  <c r="AQ19" i="59"/>
  <c r="AK19" i="59"/>
  <c r="AE19" i="59"/>
  <c r="Y19" i="59"/>
  <c r="S19" i="59"/>
  <c r="M19" i="59"/>
  <c r="BO18" i="59"/>
  <c r="BI18" i="59"/>
  <c r="BC18" i="59"/>
  <c r="AW18" i="59"/>
  <c r="AQ18" i="59"/>
  <c r="AK18" i="59"/>
  <c r="AE18" i="59"/>
  <c r="Y18" i="59"/>
  <c r="AL17" i="50" s="1"/>
  <c r="S18" i="59"/>
  <c r="M18" i="59"/>
  <c r="BO17" i="59"/>
  <c r="BI17" i="59"/>
  <c r="BC17" i="59"/>
  <c r="AW17" i="59"/>
  <c r="AQ17" i="59"/>
  <c r="AK17" i="59"/>
  <c r="AE17" i="59"/>
  <c r="Y17" i="59"/>
  <c r="S17" i="59"/>
  <c r="M17" i="59"/>
  <c r="BO16" i="59"/>
  <c r="BI16" i="59"/>
  <c r="BC16" i="59"/>
  <c r="AW16" i="59"/>
  <c r="AQ16" i="59"/>
  <c r="AK16" i="59"/>
  <c r="AE16" i="59"/>
  <c r="Y16" i="59"/>
  <c r="S16" i="59"/>
  <c r="M16" i="59"/>
  <c r="BO15" i="59"/>
  <c r="BI15" i="59"/>
  <c r="BC15" i="59"/>
  <c r="AW15" i="59"/>
  <c r="AQ15" i="59"/>
  <c r="AK15" i="59"/>
  <c r="AE15" i="59"/>
  <c r="Y15" i="59"/>
  <c r="S15" i="59"/>
  <c r="M15" i="59"/>
  <c r="BO14" i="59"/>
  <c r="BI14" i="59"/>
  <c r="BC14" i="59"/>
  <c r="AW14" i="59"/>
  <c r="AQ14" i="59"/>
  <c r="AK14" i="59"/>
  <c r="AE14" i="59"/>
  <c r="Y14" i="59"/>
  <c r="S14" i="59"/>
  <c r="M14" i="59"/>
  <c r="BO13" i="59"/>
  <c r="BI13" i="59"/>
  <c r="BC13" i="59"/>
  <c r="AW13" i="59"/>
  <c r="AQ13" i="59"/>
  <c r="AK13" i="59"/>
  <c r="AE13" i="59"/>
  <c r="Y13" i="59"/>
  <c r="S13" i="59"/>
  <c r="M13" i="59"/>
  <c r="BO12" i="59"/>
  <c r="BI12" i="59"/>
  <c r="BC12" i="59"/>
  <c r="AW12" i="59"/>
  <c r="AQ12" i="59"/>
  <c r="AK12" i="59"/>
  <c r="AE12" i="59"/>
  <c r="Y12" i="59"/>
  <c r="S12" i="59"/>
  <c r="M12" i="59"/>
  <c r="BO11" i="59"/>
  <c r="BI11" i="59"/>
  <c r="BC11" i="59"/>
  <c r="AW11" i="59"/>
  <c r="AQ11" i="59"/>
  <c r="AK11" i="59"/>
  <c r="AE11" i="59"/>
  <c r="Y11" i="59"/>
  <c r="S11" i="59"/>
  <c r="M11" i="59"/>
  <c r="BO10" i="59"/>
  <c r="BI10" i="59"/>
  <c r="BC10" i="59"/>
  <c r="AW10" i="59"/>
  <c r="AQ10" i="59"/>
  <c r="AK10" i="59"/>
  <c r="AE10" i="59"/>
  <c r="Y10" i="59"/>
  <c r="AL7" i="50" s="1"/>
  <c r="S10" i="59"/>
  <c r="M10" i="59"/>
  <c r="BO9" i="59"/>
  <c r="BI9" i="59"/>
  <c r="BC9" i="59"/>
  <c r="AW9" i="59"/>
  <c r="AQ9" i="59"/>
  <c r="AK9" i="59"/>
  <c r="AE9" i="59"/>
  <c r="Y9" i="59"/>
  <c r="S9" i="59"/>
  <c r="M9" i="59"/>
  <c r="BO8" i="59"/>
  <c r="BI8" i="59"/>
  <c r="BC8" i="59"/>
  <c r="AW8" i="59"/>
  <c r="AQ8" i="59"/>
  <c r="AK8" i="59"/>
  <c r="AE8" i="59"/>
  <c r="Y8" i="59"/>
  <c r="S8" i="59"/>
  <c r="M8" i="59"/>
  <c r="BO7" i="59"/>
  <c r="BI7" i="59"/>
  <c r="BC7" i="59"/>
  <c r="AW7" i="59"/>
  <c r="AQ7" i="59"/>
  <c r="AK7" i="59"/>
  <c r="AE7" i="59"/>
  <c r="Y7" i="59"/>
  <c r="S7" i="59"/>
  <c r="M7" i="59"/>
  <c r="BO6" i="59"/>
  <c r="BI6" i="59"/>
  <c r="BC6" i="59"/>
  <c r="AW6" i="59"/>
  <c r="AQ6" i="59"/>
  <c r="AK6" i="59"/>
  <c r="AE6" i="59"/>
  <c r="Y6" i="59"/>
  <c r="S6" i="59"/>
  <c r="M6" i="59"/>
  <c r="BO5" i="59"/>
  <c r="BI5" i="59"/>
  <c r="BC5" i="59"/>
  <c r="AW5" i="59"/>
  <c r="AQ5" i="59"/>
  <c r="AK5" i="59"/>
  <c r="AE5" i="59"/>
  <c r="Y5" i="59"/>
  <c r="S5" i="59"/>
  <c r="M5" i="59"/>
  <c r="BO4" i="59"/>
  <c r="BI4" i="59"/>
  <c r="BC4" i="59"/>
  <c r="AW4" i="59"/>
  <c r="AQ4" i="59"/>
  <c r="AK4" i="59"/>
  <c r="AE4" i="59"/>
  <c r="Y4" i="59"/>
  <c r="S4" i="59"/>
  <c r="M4" i="59"/>
  <c r="BO3" i="59"/>
  <c r="BI3" i="59"/>
  <c r="BC3" i="59"/>
  <c r="AW3" i="59"/>
  <c r="AQ3" i="59"/>
  <c r="AK3" i="59"/>
  <c r="AE3" i="59"/>
  <c r="Y3" i="59"/>
  <c r="AJ12" i="50" s="1"/>
  <c r="S3" i="59"/>
  <c r="M3" i="59"/>
  <c r="A18" i="53"/>
  <c r="A17" i="53"/>
  <c r="A16" i="53"/>
  <c r="A15" i="53"/>
  <c r="A6" i="53"/>
  <c r="A14" i="53"/>
  <c r="A13" i="53"/>
  <c r="A12" i="53"/>
  <c r="A11" i="53"/>
  <c r="A10" i="53"/>
  <c r="A9" i="53"/>
  <c r="AC7" i="53"/>
  <c r="A8" i="53"/>
  <c r="A7" i="53"/>
  <c r="A5" i="53"/>
  <c r="A4" i="53"/>
  <c r="A3" i="53"/>
  <c r="J7" i="47"/>
  <c r="D7" i="47"/>
  <c r="J9" i="47"/>
  <c r="D9" i="47"/>
  <c r="J15" i="47"/>
  <c r="D15" i="47"/>
  <c r="J4" i="47"/>
  <c r="D4" i="47"/>
  <c r="J12" i="47"/>
  <c r="D12" i="47"/>
  <c r="D16" i="47"/>
  <c r="D6" i="47"/>
  <c r="J10" i="47"/>
  <c r="D10" i="47"/>
  <c r="J14" i="47"/>
  <c r="D5" i="47"/>
  <c r="J8" i="47"/>
  <c r="D8" i="47"/>
  <c r="J3" i="47"/>
  <c r="J13" i="47"/>
  <c r="D13" i="47"/>
  <c r="D11" i="47"/>
  <c r="S15" i="57"/>
  <c r="S9" i="57"/>
  <c r="S4" i="57"/>
  <c r="S12" i="57"/>
  <c r="S16" i="57"/>
  <c r="S10" i="57"/>
  <c r="S14" i="57"/>
  <c r="S13" i="57"/>
  <c r="S8" i="57"/>
  <c r="S3" i="57"/>
  <c r="AP17" i="50"/>
  <c r="AC18" i="53"/>
  <c r="A17" i="50"/>
  <c r="AQ16" i="50"/>
  <c r="AC5" i="53"/>
  <c r="A16" i="50"/>
  <c r="AQ8" i="50"/>
  <c r="E8" i="50"/>
  <c r="A8" i="50"/>
  <c r="AQ10" i="50"/>
  <c r="E10" i="50"/>
  <c r="A10" i="50"/>
  <c r="AQ5" i="50"/>
  <c r="E5" i="50"/>
  <c r="A5" i="50"/>
  <c r="AQ13" i="50"/>
  <c r="AP13" i="50"/>
  <c r="A13" i="50"/>
  <c r="E19" i="50"/>
  <c r="A19" i="50"/>
  <c r="AQ18" i="50"/>
  <c r="AO18" i="50"/>
  <c r="A18" i="50"/>
  <c r="AQ7" i="50"/>
  <c r="AP7" i="50"/>
  <c r="AO7" i="50"/>
  <c r="AN7" i="50"/>
  <c r="AX7" i="50" s="1"/>
  <c r="E7" i="50"/>
  <c r="A7" i="50"/>
  <c r="AQ11" i="50"/>
  <c r="AP11" i="50"/>
  <c r="A11" i="50"/>
  <c r="AP15" i="50"/>
  <c r="AO15" i="50"/>
  <c r="AK15" i="50"/>
  <c r="A15" i="50"/>
  <c r="AQ6" i="50"/>
  <c r="AP6" i="50"/>
  <c r="AL6" i="50"/>
  <c r="E6" i="50"/>
  <c r="A6" i="50"/>
  <c r="AQ9" i="50"/>
  <c r="AP9" i="50"/>
  <c r="E9" i="50"/>
  <c r="A9" i="50"/>
  <c r="AP4" i="50"/>
  <c r="E4" i="50"/>
  <c r="A4" i="50"/>
  <c r="AQ14" i="50"/>
  <c r="AP14" i="50"/>
  <c r="AK14" i="50"/>
  <c r="A14" i="50"/>
  <c r="AQ12" i="50"/>
  <c r="AP12" i="50"/>
  <c r="AM12" i="50"/>
  <c r="A12" i="50"/>
  <c r="R9" i="55"/>
  <c r="R4" i="55"/>
  <c r="R16" i="55"/>
  <c r="R13" i="55"/>
  <c r="R3" i="55"/>
  <c r="R11" i="55"/>
  <c r="A11" i="55"/>
  <c r="A15" i="51"/>
  <c r="A7" i="51"/>
  <c r="A9" i="51"/>
  <c r="V4" i="51"/>
  <c r="A4" i="51"/>
  <c r="A12" i="51"/>
  <c r="AC17" i="53"/>
  <c r="V17" i="51"/>
  <c r="A17" i="51"/>
  <c r="V6" i="51"/>
  <c r="A6" i="51"/>
  <c r="V10" i="51"/>
  <c r="A10" i="51"/>
  <c r="A14" i="51"/>
  <c r="A5" i="51"/>
  <c r="V8" i="51"/>
  <c r="A8" i="51"/>
  <c r="A3" i="51"/>
  <c r="V13" i="51"/>
  <c r="A13" i="51"/>
  <c r="V11" i="51"/>
  <c r="A11" i="51"/>
  <c r="F9" i="68" l="1"/>
  <c r="F5" i="68"/>
  <c r="F8" i="68"/>
  <c r="F7" i="68"/>
  <c r="F30" i="68"/>
  <c r="I33" i="68"/>
  <c r="Z4" i="68"/>
  <c r="V4" i="68"/>
  <c r="F17" i="68"/>
  <c r="F11" i="68"/>
  <c r="C10" i="68"/>
  <c r="C7" i="68"/>
  <c r="F19" i="68"/>
  <c r="K32" i="68"/>
  <c r="W4" i="68"/>
  <c r="F28" i="68"/>
  <c r="F16" i="68"/>
  <c r="C25" i="68"/>
  <c r="U4" i="68"/>
  <c r="C32" i="68" s="1"/>
  <c r="C13" i="68"/>
  <c r="G32" i="68"/>
  <c r="C40" i="68"/>
  <c r="F26" i="68"/>
  <c r="F13" i="68"/>
  <c r="C16" i="68"/>
  <c r="AC4" i="68"/>
  <c r="F10" i="68"/>
  <c r="F51" i="69"/>
  <c r="F54" i="69"/>
  <c r="F47" i="69"/>
  <c r="D46" i="69"/>
  <c r="C46" i="69"/>
  <c r="C47" i="69"/>
  <c r="F53" i="69"/>
  <c r="F46" i="69"/>
  <c r="C49" i="69"/>
  <c r="F48" i="69"/>
  <c r="F52" i="69"/>
  <c r="D48" i="69"/>
  <c r="C48" i="69"/>
  <c r="D47" i="69"/>
  <c r="F65" i="69"/>
  <c r="Y4" i="68"/>
  <c r="F57" i="68"/>
  <c r="C54" i="68"/>
  <c r="H25" i="68"/>
  <c r="C48" i="68"/>
  <c r="C61" i="68"/>
  <c r="AB4" i="68"/>
  <c r="C60" i="68"/>
  <c r="C18" i="68"/>
  <c r="H23" i="68"/>
  <c r="C64" i="68"/>
  <c r="C58" i="68"/>
  <c r="H27" i="68"/>
  <c r="H28" i="68"/>
  <c r="C50" i="68"/>
  <c r="C63" i="68"/>
  <c r="C57" i="68"/>
  <c r="H24" i="68"/>
  <c r="C46" i="68"/>
  <c r="H18" i="69"/>
  <c r="C17" i="69"/>
  <c r="H7" i="69"/>
  <c r="H8" i="69"/>
  <c r="F62" i="69"/>
  <c r="H14" i="69"/>
  <c r="C41" i="69"/>
  <c r="H10" i="69"/>
  <c r="C65" i="69"/>
  <c r="H16" i="69"/>
  <c r="C63" i="69"/>
  <c r="C62" i="69"/>
  <c r="H12" i="69"/>
  <c r="C66" i="69"/>
  <c r="C59" i="69"/>
  <c r="F68" i="69"/>
  <c r="C39" i="69"/>
  <c r="C68" i="69"/>
  <c r="F39" i="69"/>
  <c r="D19" i="47"/>
  <c r="AA4" i="68"/>
  <c r="F60" i="68"/>
  <c r="K8" i="69"/>
  <c r="J8" i="69"/>
  <c r="I8" i="69"/>
  <c r="Z4" i="69"/>
  <c r="Z29" i="69" s="1"/>
  <c r="E41" i="69"/>
  <c r="F41" i="69"/>
  <c r="D41" i="69"/>
  <c r="F55" i="69"/>
  <c r="F51" i="68"/>
  <c r="F50" i="68"/>
  <c r="E51" i="68"/>
  <c r="E50" i="68"/>
  <c r="D51" i="68"/>
  <c r="D50" i="68"/>
  <c r="C51" i="68"/>
  <c r="U4" i="69"/>
  <c r="U29" i="69" s="1"/>
  <c r="W4" i="69"/>
  <c r="W29" i="69" s="1"/>
  <c r="X4" i="69"/>
  <c r="X29" i="69" s="1"/>
  <c r="T4" i="69"/>
  <c r="T29" i="69" s="1"/>
  <c r="S4" i="69"/>
  <c r="S29" i="69" s="1"/>
  <c r="U28" i="68"/>
  <c r="AM18" i="50"/>
  <c r="AJ14" i="50"/>
  <c r="AL14" i="50"/>
  <c r="AC4" i="53"/>
  <c r="AJ4" i="50"/>
  <c r="AO6" i="50"/>
  <c r="AM11" i="50"/>
  <c r="AJ11" i="50"/>
  <c r="AM6" i="50"/>
  <c r="AJ7" i="50"/>
  <c r="AM14" i="50"/>
  <c r="AN14" i="50"/>
  <c r="AX14" i="50" s="1"/>
  <c r="AN4" i="50"/>
  <c r="AK9" i="50"/>
  <c r="AN15" i="50"/>
  <c r="AO11" i="50"/>
  <c r="AK7" i="50"/>
  <c r="AJ17" i="50"/>
  <c r="AL11" i="50"/>
  <c r="AO4" i="50"/>
  <c r="AD4" i="68" s="1"/>
  <c r="AM15" i="50"/>
  <c r="AC16" i="53"/>
  <c r="AL12" i="50"/>
  <c r="C38" i="68" s="1"/>
  <c r="AK12" i="50"/>
  <c r="AM9" i="50"/>
  <c r="AO9" i="50"/>
  <c r="AK6" i="50"/>
  <c r="AJ15" i="50"/>
  <c r="AK11" i="50"/>
  <c r="AM7" i="50"/>
  <c r="AJ10" i="50"/>
  <c r="AO17" i="50"/>
  <c r="AC11" i="53"/>
  <c r="AC14" i="53"/>
  <c r="AM4" i="50"/>
  <c r="AJ9" i="50"/>
  <c r="AL9" i="50"/>
  <c r="AO12" i="50"/>
  <c r="AC3" i="53"/>
  <c r="AJ6" i="50"/>
  <c r="AN6" i="50"/>
  <c r="AJ18" i="50"/>
  <c r="AO14" i="50"/>
  <c r="AL15" i="50"/>
  <c r="AC6" i="53"/>
  <c r="AC13" i="53"/>
  <c r="AN18" i="50"/>
  <c r="AX18" i="50" s="1"/>
  <c r="AN12" i="50"/>
  <c r="AX12" i="50" s="1"/>
  <c r="AN9" i="50"/>
  <c r="AX9" i="50" s="1"/>
  <c r="AC10" i="53"/>
  <c r="AN11" i="50"/>
  <c r="AX11" i="50" s="1"/>
  <c r="AJ13" i="50"/>
  <c r="AC15" i="53"/>
  <c r="V14" i="51"/>
  <c r="AC9" i="53"/>
  <c r="V3" i="51"/>
  <c r="AC8" i="53"/>
  <c r="AC12" i="53"/>
  <c r="J16" i="47"/>
  <c r="J19" i="47" s="1"/>
  <c r="F41" i="68" l="1"/>
  <c r="F42" i="68" s="1"/>
  <c r="AX4" i="50"/>
  <c r="C36" i="68"/>
  <c r="X4" i="68"/>
  <c r="X28" i="68" s="1"/>
  <c r="AC28" i="68" s="1"/>
  <c r="AA28" i="68"/>
  <c r="Y4" i="69"/>
  <c r="Y29" i="69" s="1"/>
  <c r="AB28" i="68"/>
  <c r="F46" i="68"/>
  <c r="AB4" i="69"/>
  <c r="AB29" i="69" s="1"/>
  <c r="AA4" i="69"/>
  <c r="V4" i="69"/>
  <c r="V29" i="69" s="1"/>
  <c r="AA29" i="69" s="1"/>
  <c r="V28" i="68"/>
  <c r="C34" i="68"/>
  <c r="Y28" i="68"/>
  <c r="F36" i="68"/>
  <c r="F48" i="68"/>
  <c r="Z28" i="68"/>
  <c r="F40" i="68"/>
  <c r="U50" i="68"/>
  <c r="F38" i="68"/>
  <c r="W28" i="68"/>
  <c r="F32" i="68" l="1"/>
  <c r="AD28" i="68"/>
  <c r="F34" i="68"/>
</calcChain>
</file>

<file path=xl/comments1.xml><?xml version="1.0" encoding="utf-8"?>
<comments xmlns="http://schemas.openxmlformats.org/spreadsheetml/2006/main">
  <authors>
    <author>Mathieu CANGUILHEM</author>
  </authors>
  <commentList>
    <comment ref="Y7" authorId="0">
      <text>
        <r>
          <rPr>
            <b/>
            <sz val="9"/>
            <color indexed="81"/>
            <rFont val="Tahoma"/>
            <family val="2"/>
          </rPr>
          <t>Mathieu CANGUILHEM:</t>
        </r>
        <r>
          <rPr>
            <sz val="9"/>
            <color indexed="81"/>
            <rFont val="Tahoma"/>
            <family val="2"/>
          </rPr>
          <t xml:space="preserve">
valeur 2011
celle de 2010 est de 0
</t>
        </r>
      </text>
    </comment>
  </commentList>
</comments>
</file>

<file path=xl/comments2.xml><?xml version="1.0" encoding="utf-8"?>
<comments xmlns="http://schemas.openxmlformats.org/spreadsheetml/2006/main">
  <authors>
    <author>Mathieu CANGUILHEM</author>
  </authors>
  <commentList>
    <comment ref="W7" authorId="0">
      <text>
        <r>
          <rPr>
            <b/>
            <sz val="9"/>
            <color indexed="81"/>
            <rFont val="Tahoma"/>
            <family val="2"/>
          </rPr>
          <t>Mathieu CANGUILHEM:</t>
        </r>
        <r>
          <rPr>
            <sz val="9"/>
            <color indexed="81"/>
            <rFont val="Tahoma"/>
            <family val="2"/>
          </rPr>
          <t xml:space="preserve">
valeur 2011
celle de 2010 est de 0
</t>
        </r>
      </text>
    </comment>
  </commentList>
</comments>
</file>

<file path=xl/comments3.xml><?xml version="1.0" encoding="utf-8"?>
<comments xmlns="http://schemas.openxmlformats.org/spreadsheetml/2006/main">
  <authors>
    <author>Yoann LAURENT</author>
  </authors>
  <commentList>
    <comment ref="F2" authorId="0">
      <text>
        <r>
          <rPr>
            <b/>
            <sz val="9"/>
            <color indexed="81"/>
            <rFont val="Tahoma"/>
            <family val="2"/>
          </rPr>
          <t>Yoann LAURENT:</t>
        </r>
        <r>
          <rPr>
            <sz val="9"/>
            <color indexed="81"/>
            <rFont val="Tahoma"/>
            <family val="2"/>
          </rPr>
          <t xml:space="preserve">
renouvellement et investissement
check renouvellement contrat, cana, GC
regarder si invt prévu</t>
        </r>
      </text>
    </comment>
    <comment ref="H2" authorId="0">
      <text>
        <r>
          <rPr>
            <b/>
            <sz val="9"/>
            <color indexed="81"/>
            <rFont val="Tahoma"/>
            <family val="2"/>
          </rPr>
          <t>Yoann LAURENT:</t>
        </r>
        <r>
          <rPr>
            <sz val="9"/>
            <color indexed="81"/>
            <rFont val="Tahoma"/>
            <family val="2"/>
          </rPr>
          <t xml:space="preserve">
DSP uniquement --&gt; indice de perte pour AEP
taux de curage pour Asst</t>
        </r>
      </text>
    </comment>
    <comment ref="O4" authorId="0">
      <text>
        <r>
          <rPr>
            <b/>
            <sz val="9"/>
            <color indexed="81"/>
            <rFont val="Tahoma"/>
            <family val="2"/>
          </rPr>
          <t>Yoann LAURENT:</t>
        </r>
        <r>
          <rPr>
            <sz val="9"/>
            <color indexed="81"/>
            <rFont val="Tahoma"/>
            <family val="2"/>
          </rPr>
          <t xml:space="preserve">
cf facture
absence compteur, tout est passé en part fixe</t>
        </r>
      </text>
    </comment>
    <comment ref="O7" authorId="0">
      <text>
        <r>
          <rPr>
            <b/>
            <sz val="9"/>
            <color indexed="81"/>
            <rFont val="Tahoma"/>
            <family val="2"/>
          </rPr>
          <t>Yoann LAURENT:</t>
        </r>
        <r>
          <rPr>
            <sz val="9"/>
            <color indexed="81"/>
            <rFont val="Tahoma"/>
            <family val="2"/>
          </rPr>
          <t xml:space="preserve">
cf. délibration
pas de compteur, tout passé sur l'abonnement</t>
        </r>
      </text>
    </comment>
    <comment ref="W8" authorId="0">
      <text>
        <r>
          <rPr>
            <b/>
            <sz val="9"/>
            <color indexed="81"/>
            <rFont val="Tahoma"/>
            <family val="2"/>
          </rPr>
          <t>Yoann LAURENT:</t>
        </r>
        <r>
          <rPr>
            <sz val="9"/>
            <color indexed="81"/>
            <rFont val="Tahoma"/>
            <family val="2"/>
          </rPr>
          <t xml:space="preserve">
facture d'eau perçue par le SIECL</t>
        </r>
      </text>
    </comment>
    <comment ref="Q9" authorId="0">
      <text>
        <r>
          <rPr>
            <b/>
            <sz val="9"/>
            <color indexed="81"/>
            <rFont val="Tahoma"/>
            <family val="2"/>
          </rPr>
          <t>Yoann LAURENT:</t>
        </r>
        <r>
          <rPr>
            <sz val="9"/>
            <color indexed="81"/>
            <rFont val="Tahoma"/>
            <family val="2"/>
          </rPr>
          <t xml:space="preserve">
facture type à 100m3 et redev modernisation à 0,16 soit 16€ pour la facture, rapportée sur 120m3 ici</t>
        </r>
      </text>
    </comment>
    <comment ref="Y11" authorId="0">
      <text>
        <r>
          <rPr>
            <b/>
            <sz val="9"/>
            <color indexed="81"/>
            <rFont val="Tahoma"/>
            <family val="2"/>
          </rPr>
          <t>Yoann LAURENT:</t>
        </r>
        <r>
          <rPr>
            <sz val="9"/>
            <color indexed="81"/>
            <rFont val="Tahoma"/>
            <family val="2"/>
          </rPr>
          <t xml:space="preserve">
15€/m2 sur la délibération</t>
        </r>
      </text>
    </comment>
    <comment ref="Q12" authorId="0">
      <text>
        <r>
          <rPr>
            <b/>
            <sz val="9"/>
            <color indexed="81"/>
            <rFont val="Tahoma"/>
            <family val="2"/>
          </rPr>
          <t>Yoann LAURENT:</t>
        </r>
        <r>
          <rPr>
            <sz val="9"/>
            <color indexed="81"/>
            <rFont val="Tahoma"/>
            <family val="2"/>
          </rPr>
          <t xml:space="preserve">
facture type à 100m3 et redev modernisation à 0,16 soit 65m3, soit 10,4€ pour la facture, rapportée sur 120m3 ici</t>
        </r>
      </text>
    </comment>
    <comment ref="Y13" authorId="0">
      <text>
        <r>
          <rPr>
            <b/>
            <sz val="9"/>
            <color indexed="81"/>
            <rFont val="Tahoma"/>
            <family val="2"/>
          </rPr>
          <t>Yoann LAURENT:</t>
        </r>
        <r>
          <rPr>
            <sz val="9"/>
            <color indexed="81"/>
            <rFont val="Tahoma"/>
            <family val="2"/>
          </rPr>
          <t xml:space="preserve">
en réalité plusieurs tarifs: 
20€/m2 pour nouvelle construction
2500€/logement pour existant ANC devant se raccorder à l'AC (possibilité de réduction en fonction de l'état de l'ANC</t>
        </r>
      </text>
    </comment>
    <comment ref="Q17" authorId="0">
      <text>
        <r>
          <rPr>
            <b/>
            <sz val="9"/>
            <color indexed="81"/>
            <rFont val="Tahoma"/>
            <family val="2"/>
          </rPr>
          <t>Yoann LAURENT:</t>
        </r>
        <r>
          <rPr>
            <sz val="9"/>
            <color indexed="81"/>
            <rFont val="Tahoma"/>
            <family val="2"/>
          </rPr>
          <t xml:space="preserve">
0,155 pour modernisation réseau collecte</t>
        </r>
      </text>
    </comment>
  </commentList>
</comments>
</file>

<file path=xl/comments4.xml><?xml version="1.0" encoding="utf-8"?>
<comments xmlns="http://schemas.openxmlformats.org/spreadsheetml/2006/main">
  <authors>
    <author>Mathieu CANGUILHEM</author>
    <author>Yoann LAURENT</author>
  </authors>
  <commentList>
    <comment ref="O2" authorId="0">
      <text>
        <r>
          <rPr>
            <b/>
            <sz val="9"/>
            <color indexed="81"/>
            <rFont val="Tahoma"/>
            <family val="2"/>
          </rPr>
          <t>Mathieu CANGUILHEM:</t>
        </r>
        <r>
          <rPr>
            <sz val="9"/>
            <color indexed="81"/>
            <rFont val="Tahoma"/>
            <family val="2"/>
          </rPr>
          <t xml:space="preserve">
moyenne</t>
        </r>
      </text>
    </comment>
    <comment ref="P2" authorId="0">
      <text>
        <r>
          <rPr>
            <b/>
            <sz val="9"/>
            <color indexed="81"/>
            <rFont val="Tahoma"/>
            <family val="2"/>
          </rPr>
          <t>Mathieu CANGUILHEM:</t>
        </r>
        <r>
          <rPr>
            <sz val="9"/>
            <color indexed="81"/>
            <rFont val="Tahoma"/>
            <family val="2"/>
          </rPr>
          <t xml:space="preserve">
moyenne</t>
        </r>
      </text>
    </comment>
    <comment ref="AA2" authorId="0">
      <text>
        <r>
          <rPr>
            <b/>
            <sz val="9"/>
            <color indexed="81"/>
            <rFont val="Tahoma"/>
            <family val="2"/>
          </rPr>
          <t>Mathieu CANGUILHEM:</t>
        </r>
        <r>
          <rPr>
            <sz val="9"/>
            <color indexed="81"/>
            <rFont val="Tahoma"/>
            <family val="2"/>
          </rPr>
          <t xml:space="preserve">
moyenne</t>
        </r>
      </text>
    </comment>
    <comment ref="AC2" authorId="0">
      <text>
        <r>
          <rPr>
            <b/>
            <sz val="9"/>
            <color indexed="81"/>
            <rFont val="Tahoma"/>
            <family val="2"/>
          </rPr>
          <t>Mathieu CANGUILHEM:</t>
        </r>
        <r>
          <rPr>
            <sz val="9"/>
            <color indexed="81"/>
            <rFont val="Tahoma"/>
            <family val="2"/>
          </rPr>
          <t xml:space="preserve">
moyenne
PB sur cet indicateur: à fixer par la police de l'eau? </t>
        </r>
      </text>
    </comment>
    <comment ref="D3" authorId="1">
      <text>
        <r>
          <rPr>
            <b/>
            <sz val="9"/>
            <color indexed="81"/>
            <rFont val="Tahoma"/>
            <family val="2"/>
          </rPr>
          <t>Yoann LAURENT:</t>
        </r>
        <r>
          <rPr>
            <sz val="9"/>
            <color indexed="81"/>
            <rFont val="Tahoma"/>
            <family val="2"/>
          </rPr>
          <t xml:space="preserve">
pop INSEE 2013 - NB ANC*taille ménage INSEE</t>
        </r>
      </text>
    </comment>
    <comment ref="D4" authorId="1">
      <text>
        <r>
          <rPr>
            <b/>
            <sz val="9"/>
            <color indexed="81"/>
            <rFont val="Tahoma"/>
            <family val="2"/>
          </rPr>
          <t>Yoann LAURENT:</t>
        </r>
        <r>
          <rPr>
            <sz val="9"/>
            <color indexed="81"/>
            <rFont val="Tahoma"/>
            <family val="2"/>
          </rPr>
          <t xml:space="preserve">
population INSEE 2013 - Nb habitants ANC
attention aucune prise en compte des variations saisonnières
1083 ménages ais 2027 logements: part importante de logements secondaires</t>
        </r>
      </text>
    </comment>
    <comment ref="G4" authorId="1">
      <text>
        <r>
          <rPr>
            <b/>
            <sz val="9"/>
            <color indexed="81"/>
            <rFont val="Tahoma"/>
            <family val="2"/>
          </rPr>
          <t>Yoann LAURENT:</t>
        </r>
        <r>
          <rPr>
            <sz val="9"/>
            <color indexed="81"/>
            <rFont val="Tahoma"/>
            <family val="2"/>
          </rPr>
          <t xml:space="preserve">
estimation 450 installations * taille ménage INSEE 2013</t>
        </r>
      </text>
    </comment>
    <comment ref="Q4" authorId="1">
      <text>
        <r>
          <rPr>
            <b/>
            <sz val="9"/>
            <color indexed="81"/>
            <rFont val="Tahoma"/>
            <family val="2"/>
          </rPr>
          <t>Yoann LAURENT:</t>
        </r>
        <r>
          <rPr>
            <sz val="9"/>
            <color indexed="81"/>
            <rFont val="Tahoma"/>
            <family val="2"/>
          </rPr>
          <t xml:space="preserve">
données site assainissement communal</t>
        </r>
      </text>
    </comment>
    <comment ref="F5" authorId="1">
      <text>
        <r>
          <rPr>
            <b/>
            <sz val="9"/>
            <color indexed="81"/>
            <rFont val="Tahoma"/>
            <family val="2"/>
          </rPr>
          <t>Yoann LAURENT:</t>
        </r>
        <r>
          <rPr>
            <sz val="9"/>
            <color indexed="81"/>
            <rFont val="Tahoma"/>
            <family val="2"/>
          </rPr>
          <t xml:space="preserve">
calcul: population desservie divisée par la taille moyenne d'un ménage INSEE 2013</t>
        </r>
      </text>
    </comment>
    <comment ref="G5" authorId="1">
      <text>
        <r>
          <rPr>
            <b/>
            <sz val="9"/>
            <color indexed="81"/>
            <rFont val="Tahoma"/>
            <family val="2"/>
          </rPr>
          <t>Yoann LAURENT:</t>
        </r>
        <r>
          <rPr>
            <sz val="9"/>
            <color indexed="81"/>
            <rFont val="Tahoma"/>
            <family val="2"/>
          </rPr>
          <t xml:space="preserve">
pop INSEE 2013 - population désservie AC (tirée de docs annexes PLU)</t>
        </r>
      </text>
    </comment>
    <comment ref="O6" authorId="1">
      <text>
        <r>
          <rPr>
            <b/>
            <sz val="9"/>
            <color indexed="81"/>
            <rFont val="Tahoma"/>
            <family val="2"/>
          </rPr>
          <t>Yoann LAURENT:</t>
        </r>
        <r>
          <rPr>
            <sz val="9"/>
            <color indexed="81"/>
            <rFont val="Tahoma"/>
            <family val="2"/>
          </rPr>
          <t xml:space="preserve">
RPQS: ratio recette sur tarif (pas de part fixe en 2015)
</t>
        </r>
      </text>
    </comment>
    <comment ref="D7" authorId="1">
      <text>
        <r>
          <rPr>
            <b/>
            <sz val="9"/>
            <color indexed="81"/>
            <rFont val="Tahoma"/>
            <family val="2"/>
          </rPr>
          <t>Yoann LAURENT:</t>
        </r>
        <r>
          <rPr>
            <sz val="9"/>
            <color indexed="81"/>
            <rFont val="Tahoma"/>
            <family val="2"/>
          </rPr>
          <t xml:space="preserve">
pop INSEE 2013 - Nb habitants ANC</t>
        </r>
      </text>
    </comment>
    <comment ref="F7" authorId="1">
      <text>
        <r>
          <rPr>
            <b/>
            <sz val="9"/>
            <color indexed="81"/>
            <rFont val="Tahoma"/>
            <family val="2"/>
          </rPr>
          <t>Yoann LAURENT:</t>
        </r>
        <r>
          <rPr>
            <sz val="9"/>
            <color indexed="81"/>
            <rFont val="Tahoma"/>
            <family val="2"/>
          </rPr>
          <t xml:space="preserve">
population desservie / taille moyenne ménage INSEE 2013</t>
        </r>
      </text>
    </comment>
    <comment ref="G7" authorId="1">
      <text>
        <r>
          <rPr>
            <b/>
            <sz val="9"/>
            <color indexed="81"/>
            <rFont val="Tahoma"/>
            <family val="2"/>
          </rPr>
          <t>Yoann LAURENT:</t>
        </r>
        <r>
          <rPr>
            <sz val="9"/>
            <color indexed="81"/>
            <rFont val="Tahoma"/>
            <family val="2"/>
          </rPr>
          <t xml:space="preserve">
Nb installations * taille moyenne ménage INSEE 2013</t>
        </r>
      </text>
    </comment>
    <comment ref="G8" authorId="1">
      <text>
        <r>
          <rPr>
            <b/>
            <sz val="9"/>
            <color indexed="81"/>
            <rFont val="Tahoma"/>
            <family val="2"/>
          </rPr>
          <t>Yoann LAURENT:</t>
        </r>
        <r>
          <rPr>
            <sz val="9"/>
            <color indexed="81"/>
            <rFont val="Tahoma"/>
            <family val="2"/>
          </rPr>
          <t xml:space="preserve">
RAD ANC 60 installations estimées * taille moiyenne foyer INSEE 2013</t>
        </r>
      </text>
    </comment>
    <comment ref="H8" authorId="1">
      <text>
        <r>
          <rPr>
            <b/>
            <sz val="9"/>
            <color indexed="81"/>
            <rFont val="Tahoma"/>
            <family val="2"/>
          </rPr>
          <t>Yoann LAURENT:</t>
        </r>
        <r>
          <rPr>
            <sz val="9"/>
            <color indexed="81"/>
            <rFont val="Tahoma"/>
            <family val="2"/>
          </rPr>
          <t xml:space="preserve">
calcul approximatif: 
Nb ab AC 2015 / nb abonnés AEP SD 2012 
faute de mieux</t>
        </r>
      </text>
    </comment>
    <comment ref="O8" authorId="1">
      <text>
        <r>
          <rPr>
            <b/>
            <sz val="9"/>
            <color indexed="81"/>
            <rFont val="Tahoma"/>
            <family val="2"/>
          </rPr>
          <t>Yoann LAURENT:</t>
        </r>
        <r>
          <rPr>
            <sz val="9"/>
            <color indexed="81"/>
            <rFont val="Tahoma"/>
            <family val="2"/>
          </rPr>
          <t xml:space="preserve">
recettes 2016 / (tarif+redevance)</t>
        </r>
      </text>
    </comment>
    <comment ref="AB8" authorId="1">
      <text>
        <r>
          <rPr>
            <b/>
            <sz val="9"/>
            <color indexed="81"/>
            <rFont val="Tahoma"/>
            <family val="2"/>
          </rPr>
          <t>Yoann LAURENT:</t>
        </r>
        <r>
          <rPr>
            <sz val="9"/>
            <color indexed="81"/>
            <rFont val="Tahoma"/>
            <family val="2"/>
          </rPr>
          <t xml:space="preserve">
donnée RAD 2015</t>
        </r>
      </text>
    </comment>
    <comment ref="AE8" authorId="1">
      <text>
        <r>
          <rPr>
            <b/>
            <sz val="9"/>
            <color indexed="81"/>
            <rFont val="Tahoma"/>
            <family val="2"/>
          </rPr>
          <t>Yoann LAURENT:</t>
        </r>
        <r>
          <rPr>
            <sz val="9"/>
            <color indexed="81"/>
            <rFont val="Tahoma"/>
            <family val="2"/>
          </rPr>
          <t xml:space="preserve">
explication RPQS: travaux dans le cadre de la concession (conduite transfert vers STEP?)</t>
        </r>
      </text>
    </comment>
    <comment ref="AN8" authorId="1">
      <text>
        <r>
          <rPr>
            <b/>
            <sz val="9"/>
            <color indexed="81"/>
            <rFont val="Tahoma"/>
            <family val="2"/>
          </rPr>
          <t>Yoann LAURENT:</t>
        </r>
        <r>
          <rPr>
            <sz val="9"/>
            <color indexed="81"/>
            <rFont val="Tahoma"/>
            <family val="2"/>
          </rPr>
          <t xml:space="preserve">
année AE </t>
        </r>
      </text>
    </comment>
    <comment ref="AO8" authorId="1">
      <text>
        <r>
          <rPr>
            <b/>
            <sz val="9"/>
            <color indexed="81"/>
            <rFont val="Tahoma"/>
            <family val="2"/>
          </rPr>
          <t>Yoann LAURENT:</t>
        </r>
        <r>
          <rPr>
            <sz val="9"/>
            <color indexed="81"/>
            <rFont val="Tahoma"/>
            <family val="2"/>
          </rPr>
          <t xml:space="preserve">
RAD 2015</t>
        </r>
      </text>
    </comment>
    <comment ref="G10" authorId="1">
      <text>
        <r>
          <rPr>
            <b/>
            <sz val="9"/>
            <color indexed="81"/>
            <rFont val="Tahoma"/>
            <family val="2"/>
          </rPr>
          <t>Yoann LAURENT:</t>
        </r>
        <r>
          <rPr>
            <sz val="9"/>
            <color indexed="81"/>
            <rFont val="Tahoma"/>
            <family val="2"/>
          </rPr>
          <t xml:space="preserve">
env 300 * taille moyenne ménage INSEE 2013</t>
        </r>
      </text>
    </comment>
    <comment ref="Z10" authorId="1">
      <text>
        <r>
          <rPr>
            <b/>
            <sz val="9"/>
            <color indexed="81"/>
            <rFont val="Tahoma"/>
            <family val="2"/>
          </rPr>
          <t>Yoann LAURENT:</t>
        </r>
        <r>
          <rPr>
            <sz val="9"/>
            <color indexed="81"/>
            <rFont val="Tahoma"/>
            <family val="2"/>
          </rPr>
          <t xml:space="preserve">
fiche entretien : 4km mis en séparatif + extension 250ml</t>
        </r>
      </text>
    </comment>
    <comment ref="AE10" authorId="1">
      <text>
        <r>
          <rPr>
            <b/>
            <sz val="9"/>
            <color indexed="81"/>
            <rFont val="Tahoma"/>
            <family val="2"/>
          </rPr>
          <t>Yoann LAURENT:</t>
        </r>
        <r>
          <rPr>
            <sz val="9"/>
            <color indexed="81"/>
            <rFont val="Tahoma"/>
            <family val="2"/>
          </rPr>
          <t xml:space="preserve">
explication RPQS: travaux dans le cadre de la concession (conduite transfert vers STEP?)</t>
        </r>
      </text>
    </comment>
    <comment ref="A11" authorId="1">
      <text>
        <r>
          <rPr>
            <b/>
            <sz val="9"/>
            <color indexed="81"/>
            <rFont val="Tahoma"/>
            <family val="2"/>
          </rPr>
          <t>Yoann LAURENT:</t>
        </r>
        <r>
          <rPr>
            <sz val="9"/>
            <color indexed="81"/>
            <rFont val="Tahoma"/>
            <family val="2"/>
          </rPr>
          <t xml:space="preserve">
Données RPQS 2015
ou assainissement communal (fiche STEP)</t>
        </r>
      </text>
    </comment>
    <comment ref="C11" authorId="1">
      <text>
        <r>
          <rPr>
            <b/>
            <sz val="9"/>
            <color indexed="81"/>
            <rFont val="Tahoma"/>
            <family val="2"/>
          </rPr>
          <t>Yoann LAURENT:</t>
        </r>
        <r>
          <rPr>
            <sz val="9"/>
            <color indexed="81"/>
            <rFont val="Tahoma"/>
            <family val="2"/>
          </rPr>
          <t xml:space="preserve">
donnée INSEE pour Menton mais le service d'assainissement couvre une aire plus importante </t>
        </r>
      </text>
    </comment>
    <comment ref="I11" authorId="1">
      <text>
        <r>
          <rPr>
            <b/>
            <sz val="9"/>
            <color indexed="81"/>
            <rFont val="Tahoma"/>
            <family val="2"/>
          </rPr>
          <t>Yoann LAURENT:</t>
        </r>
        <r>
          <rPr>
            <sz val="9"/>
            <color indexed="81"/>
            <rFont val="Tahoma"/>
            <family val="2"/>
          </rPr>
          <t xml:space="preserve">
entretien : 7 mais RAD 11</t>
        </r>
      </text>
    </comment>
    <comment ref="Z11" authorId="1">
      <text>
        <r>
          <rPr>
            <b/>
            <sz val="9"/>
            <color indexed="81"/>
            <rFont val="Tahoma"/>
            <family val="2"/>
          </rPr>
          <t>Yoann LAURENT:</t>
        </r>
        <r>
          <rPr>
            <sz val="9"/>
            <color indexed="81"/>
            <rFont val="Tahoma"/>
            <family val="2"/>
          </rPr>
          <t xml:space="preserve">
RAD - données sur 4 ans uniquement</t>
        </r>
      </text>
    </comment>
    <comment ref="AG11" authorId="1">
      <text>
        <r>
          <rPr>
            <b/>
            <sz val="9"/>
            <color indexed="81"/>
            <rFont val="Tahoma"/>
            <family val="2"/>
          </rPr>
          <t>Yoann LAURENT:</t>
        </r>
        <r>
          <rPr>
            <sz val="9"/>
            <color indexed="81"/>
            <rFont val="Tahoma"/>
            <family val="2"/>
          </rPr>
          <t xml:space="preserve">
donnée 2015 CCTP entretiens ouvrage eaux pluviales</t>
        </r>
      </text>
    </comment>
    <comment ref="AK11" authorId="1">
      <text>
        <r>
          <rPr>
            <b/>
            <sz val="9"/>
            <color indexed="81"/>
            <rFont val="Tahoma"/>
            <family val="2"/>
          </rPr>
          <t>Yoann LAURENT:</t>
        </r>
        <r>
          <rPr>
            <sz val="9"/>
            <color indexed="81"/>
            <rFont val="Tahoma"/>
            <family val="2"/>
          </rPr>
          <t xml:space="preserve">
RAD 2015</t>
        </r>
      </text>
    </comment>
    <comment ref="AL11" authorId="1">
      <text>
        <r>
          <rPr>
            <b/>
            <sz val="9"/>
            <color indexed="81"/>
            <rFont val="Tahoma"/>
            <family val="2"/>
          </rPr>
          <t>Yoann LAURENT:</t>
        </r>
        <r>
          <rPr>
            <sz val="9"/>
            <color indexed="81"/>
            <rFont val="Tahoma"/>
            <family val="2"/>
          </rPr>
          <t xml:space="preserve">
etat de l'actif</t>
        </r>
      </text>
    </comment>
    <comment ref="D12" authorId="1">
      <text>
        <r>
          <rPr>
            <b/>
            <sz val="9"/>
            <color indexed="81"/>
            <rFont val="Tahoma"/>
            <family val="2"/>
          </rPr>
          <t>Yoann LAURENT:</t>
        </r>
        <r>
          <rPr>
            <sz val="9"/>
            <color indexed="81"/>
            <rFont val="Tahoma"/>
            <family val="2"/>
          </rPr>
          <t xml:space="preserve">
pb: population INSEE 2013 à 246 personnes</t>
        </r>
      </text>
    </comment>
    <comment ref="H12" authorId="1">
      <text>
        <r>
          <rPr>
            <b/>
            <sz val="9"/>
            <color indexed="81"/>
            <rFont val="Tahoma"/>
            <family val="2"/>
          </rPr>
          <t>Yoann LAURENT:</t>
        </r>
        <r>
          <rPr>
            <sz val="9"/>
            <color indexed="81"/>
            <rFont val="Tahoma"/>
            <family val="2"/>
          </rPr>
          <t xml:space="preserve">
329 abonnés potentiels (RPQS)</t>
        </r>
      </text>
    </comment>
    <comment ref="Q12" authorId="1">
      <text>
        <r>
          <rPr>
            <b/>
            <sz val="9"/>
            <color indexed="81"/>
            <rFont val="Tahoma"/>
            <family val="2"/>
          </rPr>
          <t>Yoann LAURENT:</t>
        </r>
        <r>
          <rPr>
            <sz val="9"/>
            <color indexed="81"/>
            <rFont val="Tahoma"/>
            <family val="2"/>
          </rPr>
          <t xml:space="preserve">
cf. site assainissement communal</t>
        </r>
      </text>
    </comment>
    <comment ref="X12" authorId="1">
      <text>
        <r>
          <rPr>
            <b/>
            <sz val="9"/>
            <color indexed="81"/>
            <rFont val="Tahoma"/>
            <family val="2"/>
          </rPr>
          <t>Yoann LAURENT:</t>
        </r>
        <r>
          <rPr>
            <sz val="9"/>
            <color indexed="81"/>
            <rFont val="Tahoma"/>
            <family val="2"/>
          </rPr>
          <t xml:space="preserve">
RPQS illisible</t>
        </r>
      </text>
    </comment>
    <comment ref="D13" authorId="1">
      <text>
        <r>
          <rPr>
            <b/>
            <sz val="9"/>
            <color indexed="81"/>
            <rFont val="Tahoma"/>
            <family val="2"/>
          </rPr>
          <t>Yoann LAURENT:</t>
        </r>
        <r>
          <rPr>
            <sz val="9"/>
            <color indexed="81"/>
            <rFont val="Tahoma"/>
            <family val="2"/>
          </rPr>
          <t xml:space="preserve">
donnée RPQS 2015</t>
        </r>
      </text>
    </comment>
    <comment ref="G13" authorId="1">
      <text>
        <r>
          <rPr>
            <b/>
            <sz val="9"/>
            <color indexed="81"/>
            <rFont val="Tahoma"/>
            <family val="2"/>
          </rPr>
          <t>Yoann LAURENT:</t>
        </r>
        <r>
          <rPr>
            <sz val="9"/>
            <color indexed="81"/>
            <rFont val="Tahoma"/>
            <family val="2"/>
          </rPr>
          <t xml:space="preserve">
taille moyenne ménage INSEE * Nb ANC SPANC 2015</t>
        </r>
      </text>
    </comment>
    <comment ref="H13" authorId="1">
      <text>
        <r>
          <rPr>
            <b/>
            <sz val="9"/>
            <color indexed="81"/>
            <rFont val="Tahoma"/>
            <family val="2"/>
          </rPr>
          <t>Yoann LAURENT:</t>
        </r>
        <r>
          <rPr>
            <sz val="9"/>
            <color indexed="81"/>
            <rFont val="Tahoma"/>
            <family val="2"/>
          </rPr>
          <t xml:space="preserve">
Pb la donnée du RPQS donne les chiffres détaillés avec communes voisins partiellemnt couverte sur dénominateur = population de la commune uniquement</t>
        </r>
      </text>
    </comment>
    <comment ref="J13" authorId="1">
      <text>
        <r>
          <rPr>
            <b/>
            <sz val="9"/>
            <color indexed="81"/>
            <rFont val="Tahoma"/>
            <family val="2"/>
          </rPr>
          <t>Yoann LAURENT:</t>
        </r>
        <r>
          <rPr>
            <sz val="9"/>
            <color indexed="81"/>
            <rFont val="Tahoma"/>
            <family val="2"/>
          </rPr>
          <t xml:space="preserve">
RPQS : 6 SP toutes équipées d'1 DO sauf une</t>
        </r>
      </text>
    </comment>
    <comment ref="V13" authorId="1">
      <text>
        <r>
          <rPr>
            <b/>
            <sz val="9"/>
            <color indexed="81"/>
            <rFont val="Tahoma"/>
            <family val="2"/>
          </rPr>
          <t>Yoann LAURENT:</t>
        </r>
        <r>
          <rPr>
            <sz val="9"/>
            <color indexed="81"/>
            <rFont val="Tahoma"/>
            <family val="2"/>
          </rPr>
          <t xml:space="preserve">
extrait RAD</t>
        </r>
      </text>
    </comment>
    <comment ref="AE13" authorId="1">
      <text>
        <r>
          <rPr>
            <b/>
            <sz val="9"/>
            <color indexed="81"/>
            <rFont val="Tahoma"/>
            <family val="2"/>
          </rPr>
          <t>Yoann LAURENT:</t>
        </r>
        <r>
          <rPr>
            <sz val="9"/>
            <color indexed="81"/>
            <rFont val="Tahoma"/>
            <family val="2"/>
          </rPr>
          <t xml:space="preserve">
explication RPQS: travaux dans le cadre de la concession (conduite transfert vers STEP?)</t>
        </r>
      </text>
    </comment>
    <comment ref="AS13" authorId="1">
      <text>
        <r>
          <rPr>
            <b/>
            <sz val="9"/>
            <color indexed="81"/>
            <rFont val="Tahoma"/>
            <family val="2"/>
          </rPr>
          <t>Yoann LAURENT:</t>
        </r>
        <r>
          <rPr>
            <sz val="9"/>
            <color indexed="81"/>
            <rFont val="Tahoma"/>
            <family val="2"/>
          </rPr>
          <t xml:space="preserve">
calculé sur RPQS 2013 à 2015 - 49 contrôles au total</t>
        </r>
      </text>
    </comment>
    <comment ref="G14" authorId="1">
      <text>
        <r>
          <rPr>
            <b/>
            <sz val="9"/>
            <color indexed="81"/>
            <rFont val="Tahoma"/>
            <family val="2"/>
          </rPr>
          <t>Yoann LAURENT:</t>
        </r>
        <r>
          <rPr>
            <sz val="9"/>
            <color indexed="81"/>
            <rFont val="Tahoma"/>
            <family val="2"/>
          </rPr>
          <t xml:space="preserve">
130 installations * taille ménage INSEE 2013</t>
        </r>
      </text>
    </comment>
    <comment ref="H14" authorId="1">
      <text>
        <r>
          <rPr>
            <b/>
            <sz val="9"/>
            <color indexed="81"/>
            <rFont val="Tahoma"/>
            <family val="2"/>
          </rPr>
          <t>Yoann LAURENT:</t>
        </r>
        <r>
          <rPr>
            <sz val="9"/>
            <color indexed="81"/>
            <rFont val="Tahoma"/>
            <family val="2"/>
          </rPr>
          <t xml:space="preserve">
surestimation car ratio sur le  nb de foyers INSEE 2013 qui ne prend pas en compte les saisonniers
si on considère le nb de logements occupés: 442/634--&gt; 70%</t>
        </r>
      </text>
    </comment>
    <comment ref="O14" authorId="1">
      <text>
        <r>
          <rPr>
            <b/>
            <sz val="9"/>
            <color indexed="81"/>
            <rFont val="Tahoma"/>
            <family val="2"/>
          </rPr>
          <t>Yoann LAURENT:</t>
        </r>
        <r>
          <rPr>
            <sz val="9"/>
            <color indexed="81"/>
            <rFont val="Tahoma"/>
            <family val="2"/>
          </rPr>
          <t xml:space="preserve">
valeur prise en 2016</t>
        </r>
      </text>
    </comment>
    <comment ref="P14" authorId="1">
      <text>
        <r>
          <rPr>
            <b/>
            <sz val="9"/>
            <color indexed="81"/>
            <rFont val="Tahoma"/>
            <family val="2"/>
          </rPr>
          <t xml:space="preserve">Yoann LAUREN
</t>
        </r>
        <r>
          <rPr>
            <sz val="9"/>
            <color indexed="81"/>
            <rFont val="Tahoma"/>
            <family val="2"/>
          </rPr>
          <t xml:space="preserve">valeur 2016 (RAD) très différente RAD précédents (16-17km3)
raison? </t>
        </r>
      </text>
    </comment>
    <comment ref="AE14" authorId="1">
      <text>
        <r>
          <rPr>
            <b/>
            <sz val="9"/>
            <color indexed="81"/>
            <rFont val="Tahoma"/>
            <family val="2"/>
          </rPr>
          <t>Yoann LAURENT:</t>
        </r>
        <r>
          <rPr>
            <sz val="9"/>
            <color indexed="81"/>
            <rFont val="Tahoma"/>
            <family val="2"/>
          </rPr>
          <t xml:space="preserve">
explication RPQS: travaux dans le cadre de la concession (conduite transfert vers STEP?)</t>
        </r>
      </text>
    </comment>
    <comment ref="D15" authorId="1">
      <text>
        <r>
          <rPr>
            <b/>
            <sz val="9"/>
            <color indexed="81"/>
            <rFont val="Tahoma"/>
            <family val="2"/>
          </rPr>
          <t>Yoann LAURENT:</t>
        </r>
        <r>
          <rPr>
            <sz val="9"/>
            <color indexed="81"/>
            <rFont val="Tahoma"/>
            <family val="2"/>
          </rPr>
          <t xml:space="preserve">
données: population &lt; nb abonnés 
non prise en compte des résidents secondaires? </t>
        </r>
      </text>
    </comment>
    <comment ref="H16" authorId="1">
      <text>
        <r>
          <rPr>
            <b/>
            <sz val="9"/>
            <color indexed="81"/>
            <rFont val="Tahoma"/>
            <family val="2"/>
          </rPr>
          <t>Yoann LAURENT:</t>
        </r>
        <r>
          <rPr>
            <sz val="9"/>
            <color indexed="81"/>
            <rFont val="Tahoma"/>
            <family val="2"/>
          </rPr>
          <t xml:space="preserve">
2000 abonnés potentiels estimés zonage assainissement (RPQS)</t>
        </r>
      </text>
    </comment>
    <comment ref="P16" authorId="1">
      <text>
        <r>
          <rPr>
            <b/>
            <sz val="9"/>
            <color indexed="81"/>
            <rFont val="Tahoma"/>
            <family val="2"/>
          </rPr>
          <t>Yoann LAURENT:</t>
        </r>
        <r>
          <rPr>
            <sz val="9"/>
            <color indexed="81"/>
            <rFont val="Tahoma"/>
            <family val="2"/>
          </rPr>
          <t xml:space="preserve">
donnée 2014 non valable pour calcul de moyenne (&gt;&gt; vol facturé)</t>
        </r>
      </text>
    </comment>
    <comment ref="AF16" authorId="1">
      <text>
        <r>
          <rPr>
            <b/>
            <sz val="9"/>
            <color indexed="81"/>
            <rFont val="Tahoma"/>
            <family val="2"/>
          </rPr>
          <t>Yoann LAURENT:</t>
        </r>
        <r>
          <rPr>
            <sz val="9"/>
            <color indexed="81"/>
            <rFont val="Tahoma"/>
            <family val="2"/>
          </rPr>
          <t xml:space="preserve">
voir le CA (avec Julien)</t>
        </r>
      </text>
    </comment>
    <comment ref="AS16" authorId="1">
      <text>
        <r>
          <rPr>
            <b/>
            <sz val="9"/>
            <color indexed="81"/>
            <rFont val="Tahoma"/>
            <family val="2"/>
          </rPr>
          <t>Yoann LAURENT:</t>
        </r>
        <r>
          <rPr>
            <sz val="9"/>
            <color indexed="81"/>
            <rFont val="Tahoma"/>
            <family val="2"/>
          </rPr>
          <t xml:space="preserve">
RPQS 2015</t>
        </r>
      </text>
    </comment>
    <comment ref="D17" authorId="1">
      <text>
        <r>
          <rPr>
            <b/>
            <sz val="9"/>
            <color indexed="81"/>
            <rFont val="Tahoma"/>
            <family val="2"/>
          </rPr>
          <t>Yoann LAURENT:</t>
        </r>
        <r>
          <rPr>
            <sz val="9"/>
            <color indexed="81"/>
            <rFont val="Tahoma"/>
            <family val="2"/>
          </rPr>
          <t xml:space="preserve">
source population INSEE 2013
NB pax/ménage INSEE
NB ANC entretien</t>
        </r>
      </text>
    </comment>
    <comment ref="E17" authorId="1">
      <text>
        <r>
          <rPr>
            <b/>
            <sz val="9"/>
            <color indexed="81"/>
            <rFont val="Tahoma"/>
            <family val="2"/>
          </rPr>
          <t>Yoann LAURENT:</t>
        </r>
        <r>
          <rPr>
            <sz val="9"/>
            <color indexed="81"/>
            <rFont val="Tahoma"/>
            <family val="2"/>
          </rPr>
          <t xml:space="preserve">
densité communale : pop totale / superficie communale</t>
        </r>
      </text>
    </comment>
    <comment ref="F17" authorId="1">
      <text>
        <r>
          <rPr>
            <b/>
            <sz val="9"/>
            <color indexed="81"/>
            <rFont val="Tahoma"/>
            <family val="2"/>
          </rPr>
          <t>Yoann LAURENT:</t>
        </r>
        <r>
          <rPr>
            <sz val="9"/>
            <color indexed="81"/>
            <rFont val="Tahoma"/>
            <family val="2"/>
          </rPr>
          <t xml:space="preserve">
source entretien</t>
        </r>
      </text>
    </comment>
    <comment ref="G17" authorId="1">
      <text>
        <r>
          <rPr>
            <b/>
            <sz val="9"/>
            <color indexed="81"/>
            <rFont val="Tahoma"/>
            <family val="2"/>
          </rPr>
          <t>Yoann LAURENT:</t>
        </r>
        <r>
          <rPr>
            <sz val="9"/>
            <color indexed="81"/>
            <rFont val="Tahoma"/>
            <family val="2"/>
          </rPr>
          <t xml:space="preserve">
=nb ANC entretien * taille ménage INSEE 2013</t>
        </r>
      </text>
    </comment>
    <comment ref="H17" authorId="1">
      <text>
        <r>
          <rPr>
            <b/>
            <sz val="9"/>
            <color indexed="81"/>
            <rFont val="Tahoma"/>
            <family val="2"/>
          </rPr>
          <t>Yoann LAURENT:</t>
        </r>
        <r>
          <rPr>
            <sz val="9"/>
            <color indexed="81"/>
            <rFont val="Tahoma"/>
            <family val="2"/>
          </rPr>
          <t xml:space="preserve">
=nb abonnés AC / totzl ab commune</t>
        </r>
      </text>
    </comment>
    <comment ref="J17" authorId="1">
      <text>
        <r>
          <rPr>
            <b/>
            <sz val="9"/>
            <color indexed="81"/>
            <rFont val="Tahoma"/>
            <family val="2"/>
          </rPr>
          <t>Yoann LAURENT:</t>
        </r>
        <r>
          <rPr>
            <sz val="9"/>
            <color indexed="81"/>
            <rFont val="Tahoma"/>
            <family val="2"/>
          </rPr>
          <t xml:space="preserve">
source entretien : attente SD</t>
        </r>
      </text>
    </comment>
    <comment ref="M17" authorId="1">
      <text>
        <r>
          <rPr>
            <b/>
            <sz val="9"/>
            <color indexed="81"/>
            <rFont val="Tahoma"/>
            <family val="2"/>
          </rPr>
          <t>Yoann LAURENT:</t>
        </r>
        <r>
          <rPr>
            <sz val="9"/>
            <color indexed="81"/>
            <rFont val="Tahoma"/>
            <family val="2"/>
          </rPr>
          <t xml:space="preserve">
Nvelle: 5000 EH
St Dalmas (vieille): 1000 EH
Casterino : 200 EH (site asst communal)
source : déclaration STEP</t>
        </r>
      </text>
    </comment>
    <comment ref="Q17" authorId="1">
      <text>
        <r>
          <rPr>
            <b/>
            <sz val="9"/>
            <color indexed="81"/>
            <rFont val="Tahoma"/>
            <family val="2"/>
          </rPr>
          <t>Yoann LAURENT:</t>
        </r>
        <r>
          <rPr>
            <sz val="9"/>
            <color indexed="81"/>
            <rFont val="Tahoma"/>
            <family val="2"/>
          </rPr>
          <t xml:space="preserve">
données: assatinissement communal 2015</t>
        </r>
      </text>
    </comment>
    <comment ref="W17" authorId="1">
      <text>
        <r>
          <rPr>
            <b/>
            <sz val="9"/>
            <color indexed="81"/>
            <rFont val="Tahoma"/>
            <family val="2"/>
          </rPr>
          <t>Yoann LAURENT:</t>
        </r>
        <r>
          <rPr>
            <sz val="9"/>
            <color indexed="81"/>
            <rFont val="Tahoma"/>
            <family val="2"/>
          </rPr>
          <t xml:space="preserve">
NB total de logements INSEE 2013 - nb ANC
entretien : pas de données claires</t>
        </r>
      </text>
    </comment>
    <comment ref="AB17" authorId="1">
      <text>
        <r>
          <rPr>
            <b/>
            <sz val="9"/>
            <color indexed="81"/>
            <rFont val="Tahoma"/>
            <family val="2"/>
          </rPr>
          <t>Yoann LAURENT:</t>
        </r>
        <r>
          <rPr>
            <sz val="9"/>
            <color indexed="81"/>
            <rFont val="Tahoma"/>
            <family val="2"/>
          </rPr>
          <t xml:space="preserve">
pb fréquent sur 1 portion réseau (cana grès, racines)
Nb non cité entretien</t>
        </r>
      </text>
    </comment>
    <comment ref="AC17" authorId="1">
      <text>
        <r>
          <rPr>
            <b/>
            <sz val="9"/>
            <color indexed="81"/>
            <rFont val="Tahoma"/>
            <family val="2"/>
          </rPr>
          <t>Yoann LAURENT:</t>
        </r>
        <r>
          <rPr>
            <sz val="9"/>
            <color indexed="81"/>
            <rFont val="Tahoma"/>
            <family val="2"/>
          </rPr>
          <t xml:space="preserve">
http://assainissement.developpement-durable.gouv.fr/</t>
        </r>
      </text>
    </comment>
  </commentList>
</comments>
</file>

<file path=xl/comments5.xml><?xml version="1.0" encoding="utf-8"?>
<comments xmlns="http://schemas.openxmlformats.org/spreadsheetml/2006/main">
  <authors>
    <author>Mathieu CANGUILHEM</author>
    <author>Yoann LAURENT</author>
  </authors>
  <commentList>
    <comment ref="H3" authorId="0">
      <text>
        <r>
          <rPr>
            <b/>
            <sz val="9"/>
            <color indexed="81"/>
            <rFont val="Tahoma"/>
            <family val="2"/>
          </rPr>
          <t>Mathieu CANGUILHEM:</t>
        </r>
        <r>
          <rPr>
            <sz val="9"/>
            <color indexed="81"/>
            <rFont val="Tahoma"/>
            <family val="2"/>
          </rPr>
          <t xml:space="preserve">
moyenne</t>
        </r>
      </text>
    </comment>
    <comment ref="I3" authorId="0">
      <text>
        <r>
          <rPr>
            <b/>
            <sz val="9"/>
            <color indexed="81"/>
            <rFont val="Tahoma"/>
            <family val="2"/>
          </rPr>
          <t>Mathieu CANGUILHEM:</t>
        </r>
        <r>
          <rPr>
            <sz val="9"/>
            <color indexed="81"/>
            <rFont val="Tahoma"/>
            <family val="2"/>
          </rPr>
          <t xml:space="preserve">
moyenne</t>
        </r>
      </text>
    </comment>
    <comment ref="J3" authorId="0">
      <text>
        <r>
          <rPr>
            <b/>
            <sz val="9"/>
            <color indexed="81"/>
            <rFont val="Tahoma"/>
            <family val="2"/>
          </rPr>
          <t>Mathieu CANGUILHEM:</t>
        </r>
        <r>
          <rPr>
            <sz val="9"/>
            <color indexed="81"/>
            <rFont val="Tahoma"/>
            <family val="2"/>
          </rPr>
          <t xml:space="preserve">
moyenne</t>
        </r>
      </text>
    </comment>
    <comment ref="M3" authorId="0">
      <text>
        <r>
          <rPr>
            <b/>
            <sz val="9"/>
            <color indexed="81"/>
            <rFont val="Tahoma"/>
            <family val="2"/>
          </rPr>
          <t>Mathieu CANGUILHEM:</t>
        </r>
        <r>
          <rPr>
            <sz val="9"/>
            <color indexed="81"/>
            <rFont val="Tahoma"/>
            <family val="2"/>
          </rPr>
          <t xml:space="preserve">
moyenne</t>
        </r>
      </text>
    </comment>
    <comment ref="X3" authorId="0">
      <text>
        <r>
          <rPr>
            <b/>
            <sz val="9"/>
            <color indexed="81"/>
            <rFont val="Tahoma"/>
            <family val="2"/>
          </rPr>
          <t>Mathieu CANGUILHEM:</t>
        </r>
        <r>
          <rPr>
            <sz val="9"/>
            <color indexed="81"/>
            <rFont val="Tahoma"/>
            <family val="2"/>
          </rPr>
          <t xml:space="preserve">
moyenne</t>
        </r>
      </text>
    </comment>
    <comment ref="Y3" authorId="1">
      <text>
        <r>
          <rPr>
            <b/>
            <sz val="9"/>
            <color indexed="81"/>
            <rFont val="Tahoma"/>
            <family val="2"/>
          </rPr>
          <t>Yoann LAURENT:</t>
        </r>
        <r>
          <rPr>
            <sz val="9"/>
            <color indexed="81"/>
            <rFont val="Tahoma"/>
            <family val="2"/>
          </rPr>
          <t xml:space="preserve">
% de la longueur totale du réseau? </t>
        </r>
      </text>
    </comment>
    <comment ref="AC3" authorId="0">
      <text>
        <r>
          <rPr>
            <b/>
            <sz val="9"/>
            <color indexed="81"/>
            <rFont val="Tahoma"/>
            <family val="2"/>
          </rPr>
          <t>Mathieu CANGUILHEM:</t>
        </r>
        <r>
          <rPr>
            <sz val="9"/>
            <color indexed="81"/>
            <rFont val="Tahoma"/>
            <family val="2"/>
          </rPr>
          <t xml:space="preserve">
moyenne</t>
        </r>
      </text>
    </comment>
    <comment ref="AD3" authorId="0">
      <text>
        <r>
          <rPr>
            <b/>
            <sz val="9"/>
            <color indexed="81"/>
            <rFont val="Tahoma"/>
            <family val="2"/>
          </rPr>
          <t>Mathieu CANGUILHEM:</t>
        </r>
        <r>
          <rPr>
            <sz val="9"/>
            <color indexed="81"/>
            <rFont val="Tahoma"/>
            <family val="2"/>
          </rPr>
          <t xml:space="preserve">
moyenne</t>
        </r>
      </text>
    </comment>
    <comment ref="AF3" authorId="0">
      <text>
        <r>
          <rPr>
            <b/>
            <sz val="9"/>
            <color indexed="81"/>
            <rFont val="Tahoma"/>
            <family val="2"/>
          </rPr>
          <t>Mathieu CANGUILHEM:</t>
        </r>
        <r>
          <rPr>
            <sz val="9"/>
            <color indexed="81"/>
            <rFont val="Tahoma"/>
            <family val="2"/>
          </rPr>
          <t xml:space="preserve">
Nb pour 1000 abonnés</t>
        </r>
      </text>
    </comment>
    <comment ref="AG3" authorId="1">
      <text>
        <r>
          <rPr>
            <b/>
            <sz val="9"/>
            <color indexed="81"/>
            <rFont val="Tahoma"/>
            <family val="2"/>
          </rPr>
          <t>Yoann LAURENT:</t>
        </r>
        <r>
          <rPr>
            <sz val="9"/>
            <color indexed="81"/>
            <rFont val="Tahoma"/>
            <family val="2"/>
          </rPr>
          <t xml:space="preserve">
extrait RAD: 
Une valeur approchée du taux d’occurrence des interruptions de service non-programmées est présenté dans le tableau suivant. Cet indicateur est calculé en prenant au numérateur le nombre de fuites réparées. La valeur obtenue est une valeur par excès dans la mesure où nb fuites réparées dans RAD</t>
        </r>
      </text>
    </comment>
    <comment ref="AI3" authorId="1">
      <text>
        <r>
          <rPr>
            <b/>
            <sz val="9"/>
            <color indexed="81"/>
            <rFont val="Tahoma"/>
            <family val="2"/>
          </rPr>
          <t>Yoann LAURENT:</t>
        </r>
        <r>
          <rPr>
            <sz val="9"/>
            <color indexed="81"/>
            <rFont val="Tahoma"/>
            <family val="2"/>
          </rPr>
          <t xml:space="preserve">
définition &amp; calculs</t>
        </r>
      </text>
    </comment>
    <comment ref="C4" authorId="1">
      <text>
        <r>
          <rPr>
            <b/>
            <sz val="9"/>
            <color indexed="81"/>
            <rFont val="Tahoma"/>
            <family val="2"/>
          </rPr>
          <t>Yoann LAURENT:</t>
        </r>
        <r>
          <rPr>
            <sz val="9"/>
            <color indexed="81"/>
            <rFont val="Tahoma"/>
            <family val="2"/>
          </rPr>
          <t xml:space="preserve">
superficie complète de la commune mais service sur une partie uniquement</t>
        </r>
      </text>
    </comment>
    <comment ref="D4" authorId="1">
      <text>
        <r>
          <rPr>
            <b/>
            <sz val="9"/>
            <color indexed="81"/>
            <rFont val="Tahoma"/>
            <family val="2"/>
          </rPr>
          <t>Yoann LAURENT:</t>
        </r>
        <r>
          <rPr>
            <sz val="9"/>
            <color indexed="81"/>
            <rFont val="Tahoma"/>
            <family val="2"/>
          </rPr>
          <t xml:space="preserve">
donnée RAD 2015</t>
        </r>
      </text>
    </comment>
    <comment ref="G4" authorId="1">
      <text>
        <r>
          <rPr>
            <b/>
            <sz val="9"/>
            <color indexed="81"/>
            <rFont val="Tahoma"/>
            <family val="2"/>
          </rPr>
          <t>Yoann LAURENT:</t>
        </r>
        <r>
          <rPr>
            <sz val="9"/>
            <color indexed="81"/>
            <rFont val="Tahoma"/>
            <family val="2"/>
          </rPr>
          <t xml:space="preserve">
Convention: Débit maximal moyen = 320m3/h</t>
        </r>
      </text>
    </comment>
    <comment ref="O4" authorId="1">
      <text>
        <r>
          <rPr>
            <b/>
            <sz val="9"/>
            <color indexed="81"/>
            <rFont val="Tahoma"/>
            <family val="2"/>
          </rPr>
          <t>Yoann LAURENT:</t>
        </r>
        <r>
          <rPr>
            <sz val="9"/>
            <color indexed="81"/>
            <rFont val="Tahoma"/>
            <family val="2"/>
          </rPr>
          <t xml:space="preserve">
lise équipement contrat DSP</t>
        </r>
      </text>
    </comment>
    <comment ref="Q4" authorId="1">
      <text>
        <r>
          <rPr>
            <b/>
            <sz val="9"/>
            <color indexed="81"/>
            <rFont val="Tahoma"/>
            <family val="2"/>
          </rPr>
          <t>Yoann LAURRAD 2015 hors longueur branchement = 22km
avec branchements 31 km</t>
        </r>
      </text>
    </comment>
    <comment ref="AF4" authorId="1">
      <text>
        <r>
          <rPr>
            <b/>
            <sz val="9"/>
            <color indexed="81"/>
            <rFont val="Tahoma"/>
            <family val="2"/>
          </rPr>
          <t>Yoann LAURENT:</t>
        </r>
        <r>
          <rPr>
            <sz val="9"/>
            <color indexed="81"/>
            <rFont val="Tahoma"/>
            <family val="2"/>
          </rPr>
          <t xml:space="preserve">
issue RAD Véolia mais inclut toutes les interruptions, programmés et non-programmés</t>
        </r>
      </text>
    </comment>
    <comment ref="AB5" authorId="1">
      <text>
        <r>
          <rPr>
            <b/>
            <sz val="9"/>
            <color indexed="81"/>
            <rFont val="Tahoma"/>
            <family val="2"/>
          </rPr>
          <t>Yoann LAURENT:</t>
        </r>
        <r>
          <rPr>
            <sz val="9"/>
            <color indexed="81"/>
            <rFont val="Tahoma"/>
            <family val="2"/>
          </rPr>
          <t xml:space="preserve">
tranche 1 rue Turin</t>
        </r>
      </text>
    </comment>
    <comment ref="H6" authorId="1">
      <text>
        <r>
          <rPr>
            <b/>
            <sz val="9"/>
            <color indexed="81"/>
            <rFont val="Tahoma"/>
            <family val="2"/>
          </rPr>
          <t>Yoann LAURENT:</t>
        </r>
        <r>
          <rPr>
            <sz val="9"/>
            <color indexed="81"/>
            <rFont val="Tahoma"/>
            <family val="2"/>
          </rPr>
          <t xml:space="preserve">
consommation annuelle dans le RPQS 2016, je ne sais pas bien si c'est la somme des compteurs abonnés ou le relevé du compteur sur le réservoir de tête</t>
        </r>
      </text>
    </comment>
    <comment ref="V6" authorId="1">
      <text>
        <r>
          <rPr>
            <b/>
            <sz val="9"/>
            <color indexed="81"/>
            <rFont val="Tahoma"/>
            <family val="2"/>
          </rPr>
          <t>Yoann LAURENT:</t>
        </r>
        <r>
          <rPr>
            <sz val="9"/>
            <color indexed="81"/>
            <rFont val="Tahoma"/>
            <family val="2"/>
          </rPr>
          <t xml:space="preserve">
environ estimation</t>
        </r>
      </text>
    </comment>
    <comment ref="AC6" authorId="1">
      <text>
        <r>
          <rPr>
            <b/>
            <sz val="9"/>
            <color indexed="81"/>
            <rFont val="Tahoma"/>
            <family val="2"/>
          </rPr>
          <t>Yoann LAURENT:</t>
        </r>
        <r>
          <rPr>
            <sz val="9"/>
            <color indexed="81"/>
            <rFont val="Tahoma"/>
            <family val="2"/>
          </rPr>
          <t xml:space="preserve">
RPQS mais annexe non fourni</t>
        </r>
      </text>
    </comment>
    <comment ref="AD6" authorId="1">
      <text>
        <r>
          <rPr>
            <b/>
            <sz val="9"/>
            <color indexed="81"/>
            <rFont val="Tahoma"/>
            <family val="2"/>
          </rPr>
          <t>Yoann LAURENT:</t>
        </r>
        <r>
          <rPr>
            <sz val="9"/>
            <color indexed="81"/>
            <rFont val="Tahoma"/>
            <family val="2"/>
          </rPr>
          <t xml:space="preserve">
RPQS mais annexe non fourni</t>
        </r>
      </text>
    </comment>
    <comment ref="BD6" authorId="1">
      <text>
        <r>
          <rPr>
            <b/>
            <sz val="9"/>
            <color indexed="81"/>
            <rFont val="Tahoma"/>
            <family val="2"/>
          </rPr>
          <t>Yoann LAURENT:</t>
        </r>
        <r>
          <rPr>
            <sz val="9"/>
            <color indexed="81"/>
            <rFont val="Tahoma"/>
            <family val="2"/>
          </rPr>
          <t xml:space="preserve">
format RPQS commune &lt; 1000 hab</t>
        </r>
      </text>
    </comment>
    <comment ref="AF7" authorId="1">
      <text>
        <r>
          <rPr>
            <b/>
            <sz val="9"/>
            <color indexed="81"/>
            <rFont val="Tahoma"/>
            <family val="2"/>
          </rPr>
          <t>Yoann LAURENT:</t>
        </r>
        <r>
          <rPr>
            <sz val="9"/>
            <color indexed="81"/>
            <rFont val="Tahoma"/>
            <family val="2"/>
          </rPr>
          <t xml:space="preserve">
source RAD</t>
        </r>
      </text>
    </comment>
    <comment ref="P8" authorId="1">
      <text>
        <r>
          <rPr>
            <b/>
            <sz val="9"/>
            <color indexed="81"/>
            <rFont val="Tahoma"/>
            <family val="2"/>
          </rPr>
          <t>Yoann LAURENT:</t>
        </r>
        <r>
          <rPr>
            <sz val="9"/>
            <color indexed="81"/>
            <rFont val="Tahoma"/>
            <family val="2"/>
          </rPr>
          <t xml:space="preserve">
pour lme dernier, volume de réserve incendie non connu et volume total estimé donc j'ai considéré 70% des 100m3 en CU</t>
        </r>
      </text>
    </comment>
    <comment ref="Q10" authorId="1">
      <text>
        <r>
          <rPr>
            <b/>
            <sz val="9"/>
            <color indexed="81"/>
            <rFont val="Tahoma"/>
            <family val="2"/>
          </rPr>
          <t>Yoann LAURENT:</t>
        </r>
        <r>
          <rPr>
            <sz val="9"/>
            <color indexed="81"/>
            <rFont val="Tahoma"/>
            <family val="2"/>
          </rPr>
          <t xml:space="preserve">
à confirmer d'après entretien</t>
        </r>
      </text>
    </comment>
    <comment ref="J12" authorId="1">
      <text>
        <r>
          <rPr>
            <b/>
            <sz val="9"/>
            <color indexed="81"/>
            <rFont val="Tahoma"/>
            <family val="2"/>
          </rPr>
          <t>Yoann LAURENT:</t>
        </r>
        <r>
          <rPr>
            <sz val="9"/>
            <color indexed="81"/>
            <rFont val="Tahoma"/>
            <family val="2"/>
          </rPr>
          <t xml:space="preserve">
basé sur le volume produit car pas de donnée sur le volume distribués sur l'année
application du rendement en correction</t>
        </r>
      </text>
    </comment>
    <comment ref="N12" authorId="1">
      <text>
        <r>
          <rPr>
            <b/>
            <sz val="9"/>
            <color indexed="81"/>
            <rFont val="Tahoma"/>
            <family val="2"/>
          </rPr>
          <t>Yoann LAURENT:</t>
        </r>
        <r>
          <rPr>
            <sz val="9"/>
            <color indexed="81"/>
            <rFont val="Tahoma"/>
            <family val="2"/>
          </rPr>
          <t xml:space="preserve">
RAD</t>
        </r>
      </text>
    </comment>
    <comment ref="O12" authorId="1">
      <text>
        <r>
          <rPr>
            <b/>
            <sz val="9"/>
            <color indexed="81"/>
            <rFont val="Tahoma"/>
            <family val="2"/>
          </rPr>
          <t>Yoann LAURENT:</t>
        </r>
        <r>
          <rPr>
            <sz val="9"/>
            <color indexed="81"/>
            <rFont val="Tahoma"/>
            <family val="2"/>
          </rPr>
          <t xml:space="preserve">
RAD</t>
        </r>
      </text>
    </comment>
    <comment ref="W12" authorId="1">
      <text>
        <r>
          <rPr>
            <b/>
            <sz val="9"/>
            <color indexed="81"/>
            <rFont val="Tahoma"/>
            <family val="2"/>
          </rPr>
          <t>Yoann LAURENT:</t>
        </r>
        <r>
          <rPr>
            <sz val="9"/>
            <color indexed="81"/>
            <rFont val="Tahoma"/>
            <family val="2"/>
          </rPr>
          <t xml:space="preserve">
données RPQS 2015</t>
        </r>
      </text>
    </comment>
    <comment ref="AA12" authorId="1">
      <text>
        <r>
          <rPr>
            <b/>
            <sz val="9"/>
            <color indexed="81"/>
            <rFont val="Tahoma"/>
            <family val="2"/>
          </rPr>
          <t>Yoann LAURENT:</t>
        </r>
        <r>
          <rPr>
            <sz val="9"/>
            <color indexed="81"/>
            <rFont val="Tahoma"/>
            <family val="2"/>
          </rPr>
          <t xml:space="preserve">
indice avancement protection de la ressource dans RPQS</t>
        </r>
      </text>
    </comment>
    <comment ref="AB12" authorId="1">
      <text>
        <r>
          <rPr>
            <b/>
            <sz val="9"/>
            <color indexed="81"/>
            <rFont val="Tahoma"/>
            <family val="2"/>
          </rPr>
          <t>Yoann LAURENT:</t>
        </r>
        <r>
          <rPr>
            <sz val="9"/>
            <color indexed="81"/>
            <rFont val="Tahoma"/>
            <family val="2"/>
          </rPr>
          <t xml:space="preserve">
données sur 3 ans
</t>
        </r>
      </text>
    </comment>
    <comment ref="AF12" authorId="1">
      <text>
        <r>
          <rPr>
            <b/>
            <sz val="9"/>
            <color indexed="81"/>
            <rFont val="Tahoma"/>
            <family val="2"/>
          </rPr>
          <t>Yoann LAURENT:</t>
        </r>
        <r>
          <rPr>
            <sz val="9"/>
            <color indexed="81"/>
            <rFont val="Tahoma"/>
            <family val="2"/>
          </rPr>
          <t xml:space="preserve">
issue RAD Véolia mais inclut toutes les interruptions, programmés et non-programmés</t>
        </r>
      </text>
    </comment>
    <comment ref="H13" authorId="1">
      <text>
        <r>
          <rPr>
            <b/>
            <sz val="9"/>
            <color indexed="81"/>
            <rFont val="Tahoma"/>
            <family val="2"/>
          </rPr>
          <t>Yoann LAURENT:</t>
        </r>
        <r>
          <rPr>
            <sz val="9"/>
            <color indexed="81"/>
            <rFont val="Tahoma"/>
            <family val="2"/>
          </rPr>
          <t xml:space="preserve">
données RPQS: fiabilité? 
Normalement pas de relevé des compteurs dans cette commune</t>
        </r>
      </text>
    </comment>
    <comment ref="I13" authorId="1">
      <text>
        <r>
          <rPr>
            <b/>
            <sz val="9"/>
            <color indexed="81"/>
            <rFont val="Tahoma"/>
            <family val="2"/>
          </rPr>
          <t>Yoann LAURENT:</t>
        </r>
        <r>
          <rPr>
            <sz val="9"/>
            <color indexed="81"/>
            <rFont val="Tahoma"/>
            <family val="2"/>
          </rPr>
          <t xml:space="preserve">
données RPQS: fiabilité? 
Normalement pas de relevé des compteurs dans cette commune</t>
        </r>
      </text>
    </comment>
    <comment ref="M13" authorId="1">
      <text>
        <r>
          <rPr>
            <b/>
            <sz val="9"/>
            <color indexed="81"/>
            <rFont val="Tahoma"/>
            <family val="2"/>
          </rPr>
          <t>Yoann LAURENT:</t>
        </r>
        <r>
          <rPr>
            <sz val="9"/>
            <color indexed="81"/>
            <rFont val="Tahoma"/>
            <family val="2"/>
          </rPr>
          <t xml:space="preserve">
données RPQS: fiabilité? 
Normalement pas de relevé des compteurs dans cette commune</t>
        </r>
      </text>
    </comment>
    <comment ref="W13" authorId="1">
      <text>
        <r>
          <rPr>
            <b/>
            <sz val="9"/>
            <color indexed="81"/>
            <rFont val="Tahoma"/>
            <family val="2"/>
          </rPr>
          <t>Yoann LAURENT:</t>
        </r>
        <r>
          <rPr>
            <sz val="9"/>
            <color indexed="81"/>
            <rFont val="Tahoma"/>
            <family val="2"/>
          </rPr>
          <t xml:space="preserve">
donné non fiable cf. commentaires volumes facturé et produit</t>
        </r>
      </text>
    </comment>
    <comment ref="Z13" authorId="1">
      <text>
        <r>
          <rPr>
            <b/>
            <sz val="9"/>
            <color indexed="81"/>
            <rFont val="Tahoma"/>
            <family val="2"/>
          </rPr>
          <t>Yoann LAURENT:</t>
        </r>
        <r>
          <rPr>
            <sz val="9"/>
            <color indexed="81"/>
            <rFont val="Tahoma"/>
            <family val="2"/>
          </rPr>
          <t xml:space="preserve">
RPQS illisible</t>
        </r>
      </text>
    </comment>
    <comment ref="D16" authorId="1">
      <text>
        <r>
          <rPr>
            <b/>
            <sz val="9"/>
            <color indexed="81"/>
            <rFont val="Tahoma"/>
            <family val="2"/>
          </rPr>
          <t>Yoann LAURENT:</t>
        </r>
        <r>
          <rPr>
            <sz val="9"/>
            <color indexed="81"/>
            <rFont val="Tahoma"/>
            <family val="2"/>
          </rPr>
          <t xml:space="preserve">
population INSEE 2013 : 442
Population permanente 451 (commune)
Population totale (saisonniers) : 850 (estimation commune)</t>
        </r>
      </text>
    </comment>
    <comment ref="M16" authorId="1">
      <text>
        <r>
          <rPr>
            <b/>
            <sz val="9"/>
            <color indexed="81"/>
            <rFont val="Tahoma"/>
            <family val="2"/>
          </rPr>
          <t>Yoann LAURENT:</t>
        </r>
        <r>
          <rPr>
            <sz val="9"/>
            <color indexed="81"/>
            <rFont val="Tahoma"/>
            <family val="2"/>
          </rPr>
          <t xml:space="preserve">
RPQS : pas comptage données non réaliste </t>
        </r>
      </text>
    </comment>
    <comment ref="AZ16" authorId="1">
      <text>
        <r>
          <rPr>
            <b/>
            <sz val="9"/>
            <color indexed="81"/>
            <rFont val="Tahoma"/>
            <family val="2"/>
          </rPr>
          <t>Yoann LAURENT:</t>
        </r>
        <r>
          <rPr>
            <sz val="9"/>
            <color indexed="81"/>
            <rFont val="Tahoma"/>
            <family val="2"/>
          </rPr>
          <t xml:space="preserve">
pb de concordance des infos: RPQS: 141k€ 2015 + 309k€ 2014
CA: 141k€ 2015 + 0€ 2014</t>
        </r>
      </text>
    </comment>
    <comment ref="A17" authorId="1">
      <text>
        <r>
          <rPr>
            <b/>
            <sz val="9"/>
            <color indexed="81"/>
            <rFont val="Tahoma"/>
            <family val="2"/>
          </rPr>
          <t>Yoann LAURENT:</t>
        </r>
        <r>
          <rPr>
            <sz val="9"/>
            <color indexed="81"/>
            <rFont val="Tahoma"/>
            <family val="2"/>
          </rPr>
          <t xml:space="preserve">
aucun moyenne possible car chgt périmètre important en 2014</t>
        </r>
      </text>
    </comment>
    <comment ref="G17" authorId="1">
      <text>
        <r>
          <rPr>
            <b/>
            <sz val="9"/>
            <color indexed="81"/>
            <rFont val="Tahoma"/>
            <family val="2"/>
          </rPr>
          <t>Yoann LAURENT:</t>
        </r>
        <r>
          <rPr>
            <sz val="9"/>
            <color indexed="81"/>
            <rFont val="Tahoma"/>
            <family val="2"/>
          </rPr>
          <t xml:space="preserve">
roya: 400l/s
Vésubie: 300l/s (rapport Pierre (différent site où 700l/s)
+sources annexes 30l/s</t>
        </r>
      </text>
    </comment>
    <comment ref="H17" authorId="1">
      <text>
        <r>
          <rPr>
            <b/>
            <sz val="9"/>
            <color indexed="81"/>
            <rFont val="Tahoma"/>
            <family val="2"/>
          </rPr>
          <t>Yoann LAURENT:</t>
        </r>
        <r>
          <rPr>
            <sz val="9"/>
            <color indexed="81"/>
            <rFont val="Tahoma"/>
            <family val="2"/>
          </rPr>
          <t xml:space="preserve">
Total: 
Importé 11 796 633 m3
Interne 267 340 m3
Ici volume mis en distri RAD: 5208065</t>
        </r>
      </text>
    </comment>
    <comment ref="J17" authorId="1">
      <text>
        <r>
          <rPr>
            <b/>
            <sz val="9"/>
            <color indexed="81"/>
            <rFont val="Tahoma"/>
            <family val="2"/>
          </rPr>
          <t>Yoann LAURENT:</t>
        </r>
        <r>
          <rPr>
            <sz val="9"/>
            <color indexed="81"/>
            <rFont val="Tahoma"/>
            <family val="2"/>
          </rPr>
          <t xml:space="preserve">
calcul basé sur la moyenne journalière du mois de pointe RAD P20</t>
        </r>
      </text>
    </comment>
    <comment ref="M17" authorId="1">
      <text>
        <r>
          <rPr>
            <b/>
            <sz val="9"/>
            <color indexed="81"/>
            <rFont val="Tahoma"/>
            <family val="2"/>
          </rPr>
          <t>Yoann LAURENT:</t>
        </r>
        <r>
          <rPr>
            <sz val="9"/>
            <color indexed="81"/>
            <rFont val="Tahoma"/>
            <family val="2"/>
          </rPr>
          <t xml:space="preserve">
VEG: 6 855 908 m3
Abonnés: 3 162 330 m3</t>
        </r>
      </text>
    </comment>
    <comment ref="AB17" authorId="1">
      <text>
        <r>
          <rPr>
            <b/>
            <sz val="9"/>
            <color indexed="81"/>
            <rFont val="Tahoma"/>
            <family val="2"/>
          </rPr>
          <t>Yoann LAURENT:</t>
        </r>
        <r>
          <rPr>
            <sz val="9"/>
            <color indexed="81"/>
            <rFont val="Tahoma"/>
            <family val="2"/>
          </rPr>
          <t xml:space="preserve">
somme Syndicat 5ans + délégataire 3 ans</t>
        </r>
      </text>
    </comment>
    <comment ref="AF17" authorId="1">
      <text>
        <r>
          <rPr>
            <b/>
            <sz val="9"/>
            <color indexed="81"/>
            <rFont val="Tahoma"/>
            <family val="2"/>
          </rPr>
          <t>Yoann LAURENT:</t>
        </r>
        <r>
          <rPr>
            <sz val="9"/>
            <color indexed="81"/>
            <rFont val="Tahoma"/>
            <family val="2"/>
          </rPr>
          <t xml:space="preserve">
2,38 en 2014</t>
        </r>
      </text>
    </comment>
    <comment ref="AK17" authorId="1">
      <text>
        <r>
          <rPr>
            <b/>
            <sz val="9"/>
            <color indexed="81"/>
            <rFont val="Tahoma"/>
            <family val="2"/>
          </rPr>
          <t>Yoann LAURENT:</t>
        </r>
        <r>
          <rPr>
            <sz val="9"/>
            <color indexed="81"/>
            <rFont val="Tahoma"/>
            <family val="2"/>
          </rPr>
          <t xml:space="preserve">
pb ici: la ressource prend en compte les VEG mais pas le besoin en JdP
intégration du besoin VEG avec coeff de pointe = à la pointe abonnés SIECL (2,53)</t>
        </r>
      </text>
    </comment>
    <comment ref="AL17" authorId="1">
      <text>
        <r>
          <rPr>
            <b/>
            <sz val="9"/>
            <color indexed="81"/>
            <rFont val="Tahoma"/>
            <family val="2"/>
          </rPr>
          <t>Yoann LAURENT:</t>
        </r>
        <r>
          <rPr>
            <sz val="9"/>
            <color indexed="81"/>
            <rFont val="Tahoma"/>
            <family val="2"/>
          </rPr>
          <t xml:space="preserve">
le besoin VEG n'est pas intégré </t>
        </r>
      </text>
    </comment>
    <comment ref="D18" authorId="1">
      <text>
        <r>
          <rPr>
            <b/>
            <sz val="9"/>
            <color indexed="81"/>
            <rFont val="Tahoma"/>
            <family val="2"/>
          </rPr>
          <t>Yoann LAURENT:</t>
        </r>
        <r>
          <rPr>
            <sz val="9"/>
            <color indexed="81"/>
            <rFont val="Tahoma"/>
            <family val="2"/>
          </rPr>
          <t xml:space="preserve">
INSEE 2013 pop = 3636</t>
        </r>
      </text>
    </comment>
    <comment ref="W18" authorId="1">
      <text>
        <r>
          <rPr>
            <b/>
            <sz val="9"/>
            <color indexed="81"/>
            <rFont val="Tahoma"/>
            <family val="2"/>
          </rPr>
          <t>Yoann LAURENT:</t>
        </r>
        <r>
          <rPr>
            <sz val="9"/>
            <color indexed="81"/>
            <rFont val="Tahoma"/>
            <family val="2"/>
          </rPr>
          <t xml:space="preserve">
rendement surestimé par une surestimation des eaux non comptées autorisées. Chute à 37% sans eau non comptées autorisées</t>
        </r>
      </text>
    </comment>
    <comment ref="D19" authorId="1">
      <text>
        <r>
          <rPr>
            <b/>
            <sz val="9"/>
            <color indexed="81"/>
            <rFont val="Tahoma"/>
            <family val="2"/>
          </rPr>
          <t>Yoann LAURENT:</t>
        </r>
        <r>
          <rPr>
            <sz val="9"/>
            <color indexed="81"/>
            <rFont val="Tahoma"/>
            <family val="2"/>
          </rPr>
          <t xml:space="preserve">
insee 2013</t>
        </r>
      </text>
    </comment>
    <comment ref="K19" authorId="1">
      <text>
        <r>
          <rPr>
            <b/>
            <sz val="9"/>
            <color indexed="81"/>
            <rFont val="Tahoma"/>
            <family val="2"/>
          </rPr>
          <t>Yoann LAURENT:</t>
        </r>
        <r>
          <rPr>
            <sz val="9"/>
            <color indexed="81"/>
            <rFont val="Tahoma"/>
            <family val="2"/>
          </rPr>
          <t xml:space="preserve">
année: 2030
tx croissance annuel INSEE : 1,3%
conso journalière/hab: 150L
pas de pointe prise en compte</t>
        </r>
      </text>
    </comment>
    <comment ref="M19" authorId="1">
      <text>
        <r>
          <rPr>
            <b/>
            <sz val="9"/>
            <color indexed="81"/>
            <rFont val="Tahoma"/>
            <family val="2"/>
          </rPr>
          <t>Yoann LAURENT:</t>
        </r>
        <r>
          <rPr>
            <sz val="9"/>
            <color indexed="81"/>
            <rFont val="Tahoma"/>
            <family val="2"/>
          </rPr>
          <t xml:space="preserve">
facturation n'est pas faite au volume</t>
        </r>
      </text>
    </comment>
    <comment ref="S19" authorId="1">
      <text>
        <r>
          <rPr>
            <b/>
            <sz val="9"/>
            <color indexed="81"/>
            <rFont val="Tahoma"/>
            <family val="2"/>
          </rPr>
          <t>Yoann LAURENT:</t>
        </r>
        <r>
          <rPr>
            <sz val="9"/>
            <color indexed="81"/>
            <rFont val="Tahoma"/>
            <family val="2"/>
          </rPr>
          <t xml:space="preserve">
2138=nb habitations INSEE 2013
11: habitations non raccordées eau (entretien)
</t>
        </r>
      </text>
    </comment>
    <comment ref="AC19" authorId="1">
      <text>
        <r>
          <rPr>
            <b/>
            <sz val="9"/>
            <color indexed="81"/>
            <rFont val="Tahoma"/>
            <family val="2"/>
          </rPr>
          <t>Yoann LAURENT:</t>
        </r>
        <r>
          <rPr>
            <sz val="9"/>
            <color indexed="81"/>
            <rFont val="Tahoma"/>
            <family val="2"/>
          </rPr>
          <t xml:space="preserve">
pb récurrent sur 1 réseau dont la source est proche de superficielle</t>
        </r>
      </text>
    </comment>
  </commentList>
</comments>
</file>

<file path=xl/comments6.xml><?xml version="1.0" encoding="utf-8"?>
<comments xmlns="http://schemas.openxmlformats.org/spreadsheetml/2006/main">
  <authors>
    <author>Yoann LAURENT</author>
  </authors>
  <commentList>
    <comment ref="Z3" authorId="0">
      <text>
        <r>
          <rPr>
            <b/>
            <sz val="9"/>
            <color indexed="81"/>
            <rFont val="Tahoma"/>
            <family val="2"/>
          </rPr>
          <t>Yoann LAURENT:</t>
        </r>
        <r>
          <rPr>
            <sz val="9"/>
            <color indexed="81"/>
            <rFont val="Tahoma"/>
            <family val="2"/>
          </rPr>
          <t xml:space="preserve">
RAD 2015</t>
        </r>
      </text>
    </comment>
    <comment ref="M6" authorId="0">
      <text>
        <r>
          <rPr>
            <b/>
            <sz val="9"/>
            <color indexed="81"/>
            <rFont val="Tahoma"/>
            <family val="2"/>
          </rPr>
          <t>Yoann LAURENT:</t>
        </r>
        <r>
          <rPr>
            <sz val="9"/>
            <color indexed="81"/>
            <rFont val="Tahoma"/>
            <family val="2"/>
          </rPr>
          <t xml:space="preserve">
tarif du SIECL pour l'intégration</t>
        </r>
      </text>
    </comment>
    <comment ref="Z11" authorId="0">
      <text>
        <r>
          <rPr>
            <b/>
            <sz val="9"/>
            <color indexed="81"/>
            <rFont val="Tahoma"/>
            <family val="2"/>
          </rPr>
          <t>Yoann LAURENT:</t>
        </r>
        <r>
          <rPr>
            <sz val="9"/>
            <color indexed="81"/>
            <rFont val="Tahoma"/>
            <family val="2"/>
          </rPr>
          <t xml:space="preserve">
RAD2014</t>
        </r>
      </text>
    </comment>
    <comment ref="Z17" authorId="0">
      <text>
        <r>
          <rPr>
            <b/>
            <sz val="9"/>
            <color indexed="81"/>
            <rFont val="Tahoma"/>
            <family val="2"/>
          </rPr>
          <t>Yoann LAURENT:</t>
        </r>
        <r>
          <rPr>
            <sz val="9"/>
            <color indexed="81"/>
            <rFont val="Tahoma"/>
            <family val="2"/>
          </rPr>
          <t xml:space="preserve">
données fournies pendant l'entretien</t>
        </r>
      </text>
    </comment>
    <comment ref="T18" authorId="0">
      <text>
        <r>
          <rPr>
            <b/>
            <sz val="9"/>
            <color indexed="81"/>
            <rFont val="Tahoma"/>
            <family val="2"/>
          </rPr>
          <t>Yoann LAURENT:</t>
        </r>
        <r>
          <rPr>
            <sz val="9"/>
            <color indexed="81"/>
            <rFont val="Tahoma"/>
            <family val="2"/>
          </rPr>
          <t xml:space="preserve">
0,29 pour pollution d'origine domestique
A tende, pas de redevance sur le prélèvement de la ressource</t>
        </r>
      </text>
    </comment>
  </commentList>
</comments>
</file>

<file path=xl/comments7.xml><?xml version="1.0" encoding="utf-8"?>
<comments xmlns="http://schemas.openxmlformats.org/spreadsheetml/2006/main">
  <authors>
    <author>Yoann LAURENT</author>
  </authors>
  <commentList>
    <comment ref="B3" authorId="0">
      <text>
        <r>
          <rPr>
            <b/>
            <sz val="9"/>
            <color indexed="81"/>
            <rFont val="Tahoma"/>
            <family val="2"/>
          </rPr>
          <t>Yoann LAURENT:</t>
        </r>
        <r>
          <rPr>
            <sz val="9"/>
            <color indexed="81"/>
            <rFont val="Tahoma"/>
            <family val="2"/>
          </rPr>
          <t xml:space="preserve">
source contrat DSP: attention uniquement périmètre DSP
84 indiquées dans RAD</t>
        </r>
      </text>
    </comment>
    <comment ref="C3" authorId="0">
      <text>
        <r>
          <rPr>
            <b/>
            <sz val="9"/>
            <color indexed="81"/>
            <rFont val="Tahoma"/>
            <family val="2"/>
          </rPr>
          <t>Yoann LAURENT:</t>
        </r>
        <r>
          <rPr>
            <sz val="9"/>
            <color indexed="81"/>
            <rFont val="Tahoma"/>
            <family val="2"/>
          </rPr>
          <t xml:space="preserve">
on ne sait pas si une prestation de service existe ou non</t>
        </r>
      </text>
    </comment>
  </commentList>
</comments>
</file>

<file path=xl/comments8.xml><?xml version="1.0" encoding="utf-8"?>
<comments xmlns="http://schemas.openxmlformats.org/spreadsheetml/2006/main">
  <authors>
    <author>Yoann LAURENT</author>
  </authors>
  <commentList>
    <comment ref="M13" authorId="0">
      <text>
        <r>
          <rPr>
            <b/>
            <sz val="9"/>
            <color indexed="81"/>
            <rFont val="Tahoma"/>
            <family val="2"/>
          </rPr>
          <t>Yoann LAURENT:</t>
        </r>
        <r>
          <rPr>
            <sz val="9"/>
            <color indexed="81"/>
            <rFont val="Tahoma"/>
            <family val="2"/>
          </rPr>
          <t xml:space="preserve">
pas cohérent avec fichier excel fourni</t>
        </r>
      </text>
    </comment>
    <comment ref="A17" authorId="0">
      <text>
        <r>
          <rPr>
            <b/>
            <sz val="9"/>
            <color indexed="81"/>
            <rFont val="Tahoma"/>
            <family val="2"/>
          </rPr>
          <t>Yoann LAURENT:</t>
        </r>
        <r>
          <rPr>
            <sz val="9"/>
            <color indexed="81"/>
            <rFont val="Tahoma"/>
            <family val="2"/>
          </rPr>
          <t xml:space="preserve">
Hyp répartition Eau/Asst: 50/50
DST à 30%
2 agences en PT remplacés pendant congés/RTT --&gt;2,3
0,4ETP admin</t>
        </r>
      </text>
    </comment>
  </commentList>
</comments>
</file>

<file path=xl/comments9.xml><?xml version="1.0" encoding="utf-8"?>
<comments xmlns="http://schemas.openxmlformats.org/spreadsheetml/2006/main">
  <authors>
    <author>CGA</author>
  </authors>
  <commentList>
    <comment ref="B1" authorId="0">
      <text>
        <r>
          <rPr>
            <b/>
            <sz val="9"/>
            <color indexed="81"/>
            <rFont val="Tahoma"/>
            <family val="2"/>
          </rPr>
          <t>CGA:</t>
        </r>
        <r>
          <rPr>
            <sz val="9"/>
            <color indexed="81"/>
            <rFont val="Tahoma"/>
            <family val="2"/>
          </rPr>
          <t xml:space="preserve">
Année civile</t>
        </r>
      </text>
    </comment>
    <comment ref="H1" authorId="0">
      <text>
        <r>
          <rPr>
            <b/>
            <sz val="9"/>
            <color indexed="81"/>
            <rFont val="Tahoma"/>
            <family val="2"/>
          </rPr>
          <t>CGA:</t>
        </r>
        <r>
          <rPr>
            <sz val="9"/>
            <color indexed="81"/>
            <rFont val="Tahoma"/>
            <family val="2"/>
          </rPr>
          <t xml:space="preserve">
Année civile</t>
        </r>
      </text>
    </comment>
    <comment ref="N1" authorId="0">
      <text>
        <r>
          <rPr>
            <b/>
            <sz val="9"/>
            <color indexed="81"/>
            <rFont val="Tahoma"/>
            <family val="2"/>
          </rPr>
          <t>CGA:</t>
        </r>
        <r>
          <rPr>
            <sz val="9"/>
            <color indexed="81"/>
            <rFont val="Tahoma"/>
            <family val="2"/>
          </rPr>
          <t xml:space="preserve">
Entre 2 relèves ==&gt; rapporté à 365 jours
</t>
        </r>
      </text>
    </comment>
    <comment ref="Z1" authorId="0">
      <text>
        <r>
          <rPr>
            <b/>
            <sz val="9"/>
            <color indexed="81"/>
            <rFont val="Tahoma"/>
            <family val="2"/>
          </rPr>
          <t>CGA:</t>
        </r>
        <r>
          <rPr>
            <sz val="9"/>
            <color indexed="81"/>
            <rFont val="Tahoma"/>
            <family val="2"/>
          </rPr>
          <t xml:space="preserve">
Entre 2 relèves</t>
        </r>
      </text>
    </comment>
  </commentList>
</comments>
</file>

<file path=xl/sharedStrings.xml><?xml version="1.0" encoding="utf-8"?>
<sst xmlns="http://schemas.openxmlformats.org/spreadsheetml/2006/main" count="2293" uniqueCount="856">
  <si>
    <t>Nombre de branchements</t>
  </si>
  <si>
    <t>Production</t>
  </si>
  <si>
    <t>Branchements</t>
  </si>
  <si>
    <t>Compteurs</t>
  </si>
  <si>
    <t>Commune</t>
  </si>
  <si>
    <t>Réseau</t>
  </si>
  <si>
    <t>Nombre d'abonnés</t>
  </si>
  <si>
    <t>Saisie des communes</t>
  </si>
  <si>
    <t>Indice linéaire des 
volumes non comptés</t>
  </si>
  <si>
    <t>Rendement du réseau
de distribution</t>
  </si>
  <si>
    <t>Volumes facturés</t>
  </si>
  <si>
    <t>Distance moyenne entre branchements</t>
  </si>
  <si>
    <t>Tableau de note</t>
  </si>
  <si>
    <t>Abonnés</t>
  </si>
  <si>
    <t xml:space="preserve">Taux de conformité bactériologique </t>
  </si>
  <si>
    <t xml:space="preserve">Taux de conformité physico-chimique </t>
  </si>
  <si>
    <t>Indice de connaissance 
des réseaux</t>
  </si>
  <si>
    <t xml:space="preserve">Taux moyen de renouvellement 
des réseaux </t>
  </si>
  <si>
    <t>Taux d'interruptions
 non programmées (pour 1000 abonnés)</t>
  </si>
  <si>
    <t>Taux d'impayés</t>
  </si>
  <si>
    <t>Nombre d'abonnés par km de réseau</t>
  </si>
  <si>
    <t>Moyenne nationale</t>
  </si>
  <si>
    <t>Classes</t>
  </si>
  <si>
    <t>Valeur contrat</t>
  </si>
  <si>
    <t>ecart</t>
  </si>
  <si>
    <t>Prix TTC du service
d'eau potable €/m3</t>
  </si>
  <si>
    <t>Note contrat</t>
  </si>
  <si>
    <t>Durée de stockage en pointe (h)</t>
  </si>
  <si>
    <t>Performance du réseau (ILP)</t>
  </si>
  <si>
    <t>Clientèle</t>
  </si>
  <si>
    <t>Référence nationale</t>
  </si>
  <si>
    <t>Commentaires</t>
  </si>
  <si>
    <t xml:space="preserve">Longueur du réseau </t>
  </si>
  <si>
    <t>Capacité d'autofinancement (épargne nette)</t>
  </si>
  <si>
    <t>Encours de dette</t>
  </si>
  <si>
    <t>Mode de gestion</t>
  </si>
  <si>
    <t>CHOISIR UN SERVICE</t>
  </si>
  <si>
    <t>Performances du service</t>
  </si>
  <si>
    <t>Mobilisation de la ressource</t>
  </si>
  <si>
    <t>Durée de stockage en pointe</t>
  </si>
  <si>
    <t>non</t>
  </si>
  <si>
    <t>oui</t>
  </si>
  <si>
    <t>commune</t>
  </si>
  <si>
    <t>non réalisé</t>
  </si>
  <si>
    <t>en cours</t>
  </si>
  <si>
    <t>-</t>
  </si>
  <si>
    <t>Opérateur</t>
  </si>
  <si>
    <t>Collectivité</t>
  </si>
  <si>
    <t xml:space="preserve">Indicateurs financiers </t>
  </si>
  <si>
    <t>Part Fixe (a)</t>
  </si>
  <si>
    <t>Part variable (b)</t>
  </si>
  <si>
    <t>Part variable (d)</t>
  </si>
  <si>
    <t>Tarifs</t>
  </si>
  <si>
    <t>Investissements</t>
  </si>
  <si>
    <t>Explications sur les variations tarifaires :</t>
  </si>
  <si>
    <t>Code</t>
  </si>
  <si>
    <t>Superficie</t>
  </si>
  <si>
    <t>Population</t>
  </si>
  <si>
    <t>Densité</t>
  </si>
  <si>
    <t>rendement</t>
  </si>
  <si>
    <t>ILP</t>
  </si>
  <si>
    <t>ILVNC</t>
  </si>
  <si>
    <t>Indice de connaissance du réseau</t>
  </si>
  <si>
    <t>Protection de la ressource</t>
  </si>
  <si>
    <t>Renouvellement canalisations (moyenne 5 dernières années)</t>
  </si>
  <si>
    <t>Impayés</t>
  </si>
  <si>
    <t>Besoins en pointe 2020/2030</t>
  </si>
  <si>
    <t>Compétence</t>
  </si>
  <si>
    <t>Échéance du contrat</t>
  </si>
  <si>
    <t>Abonnement part délégataire</t>
  </si>
  <si>
    <t>Consommation part délégataire</t>
  </si>
  <si>
    <t>Abonnement part communale</t>
  </si>
  <si>
    <t>Consommation part communale</t>
  </si>
  <si>
    <t xml:space="preserve">Redevances AE </t>
  </si>
  <si>
    <t>Prix TTC M3</t>
  </si>
  <si>
    <t>FR 2014</t>
  </si>
  <si>
    <t>Encours 2014</t>
  </si>
  <si>
    <t>FR 2015</t>
  </si>
  <si>
    <t>Encours 2015</t>
  </si>
  <si>
    <t>Année du prix de l'eau</t>
  </si>
  <si>
    <t>Prestations de services</t>
  </si>
  <si>
    <t>Nombre de facturation</t>
  </si>
  <si>
    <t>Nombre de relèves</t>
  </si>
  <si>
    <t>DUP</t>
  </si>
  <si>
    <t>Conventions de servitudes</t>
  </si>
  <si>
    <t>Arreté préféctoral rejets</t>
  </si>
  <si>
    <t>Convention de déversement/traitement</t>
  </si>
  <si>
    <t>Volume de stockage</t>
  </si>
  <si>
    <t>Volumes distribués le jour de pointe</t>
  </si>
  <si>
    <t>Stockage (description)</t>
  </si>
  <si>
    <t>Branchements en plomb Restants</t>
  </si>
  <si>
    <t>Nombre de foyers prévus en extension</t>
  </si>
  <si>
    <t>Coef de pointe</t>
  </si>
  <si>
    <t>Volume maximal autorisé/capacité maximum de production (le plus contraignant en m3/j)</t>
  </si>
  <si>
    <t>Analyses bactério (% conformité)</t>
  </si>
  <si>
    <t>Analyses chimico (% conformité)</t>
  </si>
  <si>
    <t>Rendement</t>
  </si>
  <si>
    <t>Linéaire renouvelé ces 5 dernières années (ml)</t>
  </si>
  <si>
    <t>Longueur Réseau (km)</t>
  </si>
  <si>
    <t>SAISIE</t>
  </si>
  <si>
    <t>CALCULS</t>
  </si>
  <si>
    <t>COMMUNES</t>
  </si>
  <si>
    <t>CODE INSEE</t>
  </si>
  <si>
    <t>CONTACT</t>
  </si>
  <si>
    <t>TELEPHONE</t>
  </si>
  <si>
    <t>MAIL</t>
  </si>
  <si>
    <t>Maire</t>
  </si>
  <si>
    <t>Bord politique</t>
  </si>
  <si>
    <t xml:space="preserve">Attentes </t>
  </si>
  <si>
    <t>Craintes</t>
  </si>
  <si>
    <t>Traitement description</t>
  </si>
  <si>
    <t>Capacité</t>
  </si>
  <si>
    <t>Date de mise en service</t>
  </si>
  <si>
    <t>Volumes traités</t>
  </si>
  <si>
    <t>Longueur de réseau</t>
  </si>
  <si>
    <t>Besoins 2020/2030</t>
  </si>
  <si>
    <t>Projets d'extensions (nb de foyers)</t>
  </si>
  <si>
    <t>Nombre d'abonnés AC</t>
  </si>
  <si>
    <t>Indice de connaissance des rejets</t>
  </si>
  <si>
    <t>Nombre de débordements</t>
  </si>
  <si>
    <t>Nombre de désobstructions annuelles</t>
  </si>
  <si>
    <t>Taux de renouvellement moyen</t>
  </si>
  <si>
    <t>Nombre de postes de relèvement</t>
  </si>
  <si>
    <t>Inventaire à jour (oui/non)</t>
  </si>
  <si>
    <t>Impayés (%)</t>
  </si>
  <si>
    <t>Pluvial (bassin de rétention/autre)</t>
  </si>
  <si>
    <t>% en séparatif</t>
  </si>
  <si>
    <t>Réseaux amortis dans le CA</t>
  </si>
  <si>
    <t>Ancienneté des réseaux</t>
  </si>
  <si>
    <t>Taux de renouvellement à prévoir</t>
  </si>
  <si>
    <t>Traitement</t>
  </si>
  <si>
    <t>Nb ETP total</t>
  </si>
  <si>
    <t>Conventions de servitudes (fourni/non fourni)</t>
  </si>
  <si>
    <t>Convention d'achats/ventes d'eau (fourni/non fourni/non concerné)</t>
  </si>
  <si>
    <t>DUP (fourni/non fourni)</t>
  </si>
  <si>
    <t>Données juridiques</t>
  </si>
  <si>
    <t>Surpression (description)</t>
  </si>
  <si>
    <t>Volumes non comptés estimés (volumes de service et sans comptage)</t>
  </si>
  <si>
    <t>non-conformité</t>
  </si>
  <si>
    <t>nombre réparation réseau</t>
  </si>
  <si>
    <t>nombre réparation branchements</t>
  </si>
  <si>
    <t>Subvention équilibre</t>
  </si>
  <si>
    <t>Ligne de personnel</t>
  </si>
  <si>
    <t>Cohérence des amortissements</t>
  </si>
  <si>
    <t>Moyenne</t>
  </si>
  <si>
    <t>Volumes distribués / achetés</t>
  </si>
  <si>
    <t>Volumes non comptés estimés</t>
  </si>
  <si>
    <t>Recherche de fuites</t>
  </si>
  <si>
    <t>Analyses bactério</t>
  </si>
  <si>
    <t>Analyses physico chimiques</t>
  </si>
  <si>
    <t>Nb interruptions non programmées</t>
  </si>
  <si>
    <t>Régie</t>
  </si>
  <si>
    <t>Nombre de désobstructions</t>
  </si>
  <si>
    <t>Linéaire curé</t>
  </si>
  <si>
    <t>Nb réparations réseau</t>
  </si>
  <si>
    <t>Nb réparations branchements</t>
  </si>
  <si>
    <r>
      <t>Nombre d'</t>
    </r>
    <r>
      <rPr>
        <b/>
        <sz val="9"/>
        <color rgb="FFFF0000"/>
        <rFont val="Century Gothic"/>
        <family val="2"/>
      </rPr>
      <t>habitants</t>
    </r>
    <r>
      <rPr>
        <b/>
        <sz val="9"/>
        <color theme="0"/>
        <rFont val="Century Gothic"/>
        <family val="2"/>
      </rPr>
      <t xml:space="preserve"> ANC</t>
    </r>
  </si>
  <si>
    <t>Consommation part syndicale</t>
  </si>
  <si>
    <t>Consommation part fédération</t>
  </si>
  <si>
    <t>Pluvial</t>
  </si>
  <si>
    <t>TVA</t>
  </si>
  <si>
    <t>NC</t>
  </si>
  <si>
    <t>Calcul</t>
  </si>
  <si>
    <t>Fond de renouvellement</t>
  </si>
  <si>
    <t>Répartition</t>
  </si>
  <si>
    <t>Objectif de oerformances</t>
  </si>
  <si>
    <t>Objectifs de performance</t>
  </si>
  <si>
    <t>Recherche fuite (oui/non/ml inspecté)</t>
  </si>
  <si>
    <t>Nombre</t>
  </si>
  <si>
    <t>Total</t>
  </si>
  <si>
    <t>Indice linéaire de réparation réseau</t>
  </si>
  <si>
    <t>Bonnes pratiques renouvellement</t>
  </si>
  <si>
    <t>Recherche de fuites (%)</t>
  </si>
  <si>
    <t xml:space="preserve">Bonnes pratiques </t>
  </si>
  <si>
    <t>Titulaire</t>
  </si>
  <si>
    <t>Volumes de recettes</t>
  </si>
  <si>
    <t>gestion</t>
  </si>
  <si>
    <t>Nb ETP
technique eau</t>
  </si>
  <si>
    <t>Nb ETP admin eau</t>
  </si>
  <si>
    <t>Nb ETP technique ass</t>
  </si>
  <si>
    <t>Nb ETP admin ass</t>
  </si>
  <si>
    <t xml:space="preserve">Budget
eau </t>
  </si>
  <si>
    <t>Budget
assainissement</t>
  </si>
  <si>
    <t>M49 solidaire</t>
  </si>
  <si>
    <t>M14</t>
  </si>
  <si>
    <t>Epargne nette moyenne assainissement</t>
  </si>
  <si>
    <t>Epargne nette moyenne eau potable</t>
  </si>
  <si>
    <t>ILC</t>
  </si>
  <si>
    <t>grenelle</t>
  </si>
  <si>
    <t>Personnel fléché</t>
  </si>
  <si>
    <t>Contrats de prestations de services</t>
  </si>
  <si>
    <t>Redevances Agence de l'eau</t>
  </si>
  <si>
    <t>Type de traitement</t>
  </si>
  <si>
    <t>Collecte</t>
  </si>
  <si>
    <t>PFAC</t>
  </si>
  <si>
    <t>Déversoirs d'orage</t>
  </si>
  <si>
    <t>Arreté préfectoral</t>
  </si>
  <si>
    <t>Présentation du service eau potable</t>
  </si>
  <si>
    <t>Présentation du service assainissement collectif</t>
  </si>
  <si>
    <t>Projets d'extension (foyers)</t>
  </si>
  <si>
    <t>Nombre de factures/an</t>
  </si>
  <si>
    <t>Population desservie</t>
  </si>
  <si>
    <t>Nombre d'ETP administratif</t>
  </si>
  <si>
    <t>Nombre d'ETP technique</t>
  </si>
  <si>
    <t>Tarifs au 01/01/2017 TTC</t>
  </si>
  <si>
    <t xml:space="preserve">Part fixe (c) </t>
  </si>
  <si>
    <t>Date d'échéance de la DSP</t>
  </si>
  <si>
    <t>Bassins de rétention</t>
  </si>
  <si>
    <t>Entretien</t>
  </si>
  <si>
    <t>Conventions transfert/traitement effluents</t>
  </si>
  <si>
    <t>Conventions de transfert/traitement effluents</t>
  </si>
  <si>
    <t>Conventions spéciales de déversement</t>
  </si>
  <si>
    <t>Astreinte</t>
  </si>
  <si>
    <t>Dysfonctionnements identifiés</t>
  </si>
  <si>
    <t>Dysfonctionnements identifiés sur le système d'assainissement</t>
  </si>
  <si>
    <t>Fonds de roulement au 31/12</t>
  </si>
  <si>
    <t>FR 2016</t>
  </si>
  <si>
    <t>Encours 2016</t>
  </si>
  <si>
    <t>Epargne nette 2014</t>
  </si>
  <si>
    <t>Epargne nette 2015</t>
  </si>
  <si>
    <t>Epargne nette 2016</t>
  </si>
  <si>
    <t>Subvention d'équilibre</t>
  </si>
  <si>
    <t xml:space="preserve">Subvention (2016)
équilibre </t>
  </si>
  <si>
    <t>Prise en compte 
du personnel (2016)</t>
  </si>
  <si>
    <t>Asujetissement TVA</t>
  </si>
  <si>
    <t>Travaux réalisés au cours des dernières années</t>
  </si>
  <si>
    <t>Travaux à prévoir</t>
  </si>
  <si>
    <t>Règlement de service</t>
  </si>
  <si>
    <t>Population desservie AC</t>
  </si>
  <si>
    <t>Capacité STEP(s) (EH)</t>
  </si>
  <si>
    <t>Commentaires organisation du service</t>
  </si>
  <si>
    <t>Autres commentaires</t>
  </si>
  <si>
    <t>Taux de desserte</t>
  </si>
  <si>
    <t>Conformité de la collecte</t>
  </si>
  <si>
    <t>Conformité traitement (conforme arreté/non conforme)</t>
  </si>
  <si>
    <t>Production (description)</t>
  </si>
  <si>
    <t>Nombre de Réservoirs</t>
  </si>
  <si>
    <t>Nb de postes de relevage</t>
  </si>
  <si>
    <t>Ressource / qualité de l'eau</t>
  </si>
  <si>
    <t>Conventions d'achat/vente d'eau</t>
  </si>
  <si>
    <t>Dysfonctionnements identifiés sur le système d'eau</t>
  </si>
  <si>
    <t>Menton</t>
  </si>
  <si>
    <t>Roquebrune</t>
  </si>
  <si>
    <t>Beausoleil</t>
  </si>
  <si>
    <t>Gorbio</t>
  </si>
  <si>
    <t>Castellar</t>
  </si>
  <si>
    <t>Sainte Agnes</t>
  </si>
  <si>
    <t xml:space="preserve">La Turbie </t>
  </si>
  <si>
    <t>Castillon</t>
  </si>
  <si>
    <t>Sospel</t>
  </si>
  <si>
    <t>Moulinet</t>
  </si>
  <si>
    <t>Breil</t>
  </si>
  <si>
    <t>Saorge</t>
  </si>
  <si>
    <t>La Brigue</t>
  </si>
  <si>
    <t>Fontan</t>
  </si>
  <si>
    <t>Tende</t>
  </si>
  <si>
    <t>SIECL</t>
  </si>
  <si>
    <t>SIVOM Villefranche</t>
  </si>
  <si>
    <t>06083</t>
  </si>
  <si>
    <t>06104</t>
  </si>
  <si>
    <t>06012</t>
  </si>
  <si>
    <t>06067</t>
  </si>
  <si>
    <t>06035</t>
  </si>
  <si>
    <t>06113</t>
  </si>
  <si>
    <t>06150</t>
  </si>
  <si>
    <t>06036</t>
  </si>
  <si>
    <t>06136</t>
  </si>
  <si>
    <t>06086</t>
  </si>
  <si>
    <t>06023</t>
  </si>
  <si>
    <t>06132</t>
  </si>
  <si>
    <t>06162</t>
  </si>
  <si>
    <t>06062</t>
  </si>
  <si>
    <t>06163</t>
  </si>
  <si>
    <t>Superficie (km2)</t>
  </si>
  <si>
    <t>Densité (hab/km2)</t>
  </si>
  <si>
    <t>attente SD</t>
  </si>
  <si>
    <t>STEP 1: 2015
STEP Casterion (non fonct): 2002
STEP Granil (ancienne): env 1960</t>
  </si>
  <si>
    <t>n.c.</t>
  </si>
  <si>
    <t>ok 2013</t>
  </si>
  <si>
    <t>n.a.</t>
  </si>
  <si>
    <t>nc</t>
  </si>
  <si>
    <t>2 surpresseurs</t>
  </si>
  <si>
    <t>&gt;50%</t>
  </si>
  <si>
    <t>non mesuré</t>
  </si>
  <si>
    <t>oui 3 semaines / an</t>
  </si>
  <si>
    <t>DUP en cours - dossier déspoés sous peu</t>
  </si>
  <si>
    <t>oui (novembre 2016)</t>
  </si>
  <si>
    <t>régie</t>
  </si>
  <si>
    <t>en cours captage</t>
  </si>
  <si>
    <t>agents communaux</t>
  </si>
  <si>
    <t>Part fixe (c )</t>
  </si>
  <si>
    <t xml:space="preserve">Système tarifaire </t>
  </si>
  <si>
    <t>commentaire système tarifaire</t>
  </si>
  <si>
    <t>Contentieux en cours</t>
  </si>
  <si>
    <t>Défense Incendie</t>
  </si>
  <si>
    <t>Nb hydrants</t>
  </si>
  <si>
    <t>Organisation de l'entretien</t>
  </si>
  <si>
    <t>Avis pour le transfert de la compétence</t>
  </si>
  <si>
    <t>équipements principaux</t>
  </si>
  <si>
    <t>Année dernier Schéma Directeur</t>
  </si>
  <si>
    <t>Année dernier SD</t>
  </si>
  <si>
    <t>Aucun</t>
  </si>
  <si>
    <t>Nb Hydrants</t>
  </si>
  <si>
    <t>Organisation entretien</t>
  </si>
  <si>
    <t>Favorable</t>
  </si>
  <si>
    <t>Année délibération SPANC</t>
  </si>
  <si>
    <t>Nb installations</t>
  </si>
  <si>
    <t>Réalisation de contrôles périodiques (oui/non)</t>
  </si>
  <si>
    <t>Service Public d'Assainissement Non Collectif</t>
  </si>
  <si>
    <t>Nombre d'installations</t>
  </si>
  <si>
    <t>Vérification conception et exécution</t>
  </si>
  <si>
    <t>DSP</t>
  </si>
  <si>
    <t>Véolia-Eau</t>
  </si>
  <si>
    <t>Collectivité: renforcement, mise aux normes, extensions
Délégataire: autres travaux</t>
  </si>
  <si>
    <t>Moyens matériels</t>
  </si>
  <si>
    <t>5 captages 
2 traitements UV</t>
  </si>
  <si>
    <t>Equipement de recherche de fuite 
Stock de pièces détachées</t>
  </si>
  <si>
    <t>Pb récurrent de qualité sur 1 secteur 
branchements plomb (&gt;50%)
absence compteurs
fuites élevées</t>
  </si>
  <si>
    <t>Part fixe + Part variable indexée sur le nombre de robinets des habitations. Chaque robinet correspond à un volume forfaitaire (absence de compteurs)</t>
  </si>
  <si>
    <t>Devérsoirs d'orage</t>
  </si>
  <si>
    <t>5000+1000+200 EH</t>
  </si>
  <si>
    <t>Conformité de l'épuration (derniers rapports SATESE)</t>
  </si>
  <si>
    <t>RPQS</t>
  </si>
  <si>
    <t>Commentaire gestion clientèle</t>
  </si>
  <si>
    <t>Redevance pour prélèvement de la ressource</t>
  </si>
  <si>
    <t>Redevance pour pollution de l'eau</t>
  </si>
  <si>
    <t>Redevances AE - prélèvement de la ressource</t>
  </si>
  <si>
    <t>Redevances AE - Pollution de l'eau</t>
  </si>
  <si>
    <t>Mensualisation proposée. Réalisée pour 300 abonnés</t>
  </si>
  <si>
    <t>Conformité des hydrants (contrôle SDIS)</t>
  </si>
  <si>
    <t>Conformité des hydrants (contrôle SDIS) en %</t>
  </si>
  <si>
    <t>Fontaines équipées de compteurs (non chiffré)</t>
  </si>
  <si>
    <t>STEP Tende: Boues activées
STEP St Dalmas: lit bactérien
STEP Casterino: infiltration</t>
  </si>
  <si>
    <t xml:space="preserve">Moyens matériels </t>
  </si>
  <si>
    <t>Tende: ok
St Dalmas: ok
Casterino: non</t>
  </si>
  <si>
    <t>1 hydrocureuse</t>
  </si>
  <si>
    <t>Réalisation contrôle périodiques</t>
  </si>
  <si>
    <t>5 points de débordements fréquents</t>
  </si>
  <si>
    <t>Commentaire système tarifaire</t>
  </si>
  <si>
    <t>Modernisation des  réseaux de collecte</t>
  </si>
  <si>
    <t>Redevances Agences de l'Eau</t>
  </si>
  <si>
    <t xml:space="preserve">Année de création </t>
  </si>
  <si>
    <t>Moyens matériels service AC</t>
  </si>
  <si>
    <t>Taux de conformité des installations ANC (%)</t>
  </si>
  <si>
    <t>Commentaire sur le SPANC</t>
  </si>
  <si>
    <t>Arrêté STEP Tende non reçu par la commune
Récépissé STEP St Dalmas Ok
STEP Casterino non concernée</t>
  </si>
  <si>
    <t>Entretien &amp; maintenance 2 STEP (Tende + Saint Dalmas) + 2 Postes de Relevage (31k€/an - NRJ exclue à 34k€/an)</t>
  </si>
  <si>
    <t xml:space="preserve">Réhabilitation STEPs St Dalmas (non chiffré)
Réhabilitation STEP Casterino (300k€)
Nouvelle mini-STEP Granil (50k€)
Mise en séparatif &amp; renouvellemnt réseau (non chiffré)
</t>
  </si>
  <si>
    <t>STEP de Tende mise en service en 2015 (5000EH, montant non connu)
Renouvellement &amp; mise en séparatif (coût et longueur non connus)</t>
  </si>
  <si>
    <t>Pas de compteurs abonnés</t>
  </si>
  <si>
    <t>contrôles limités aux obligations pour les transactions immobilières</t>
  </si>
  <si>
    <r>
      <t>Indice linéaire 
des pertes de réseau (m</t>
    </r>
    <r>
      <rPr>
        <vertAlign val="superscript"/>
        <sz val="12"/>
        <rFont val="Century Gothic"/>
        <family val="2"/>
      </rPr>
      <t>3</t>
    </r>
    <r>
      <rPr>
        <sz val="12"/>
        <rFont val="Century Gothic"/>
        <family val="2"/>
      </rPr>
      <t>/km/jour)</t>
    </r>
  </si>
  <si>
    <r>
      <t>Volumes facturés (m</t>
    </r>
    <r>
      <rPr>
        <vertAlign val="superscript"/>
        <sz val="12"/>
        <rFont val="Century Gothic"/>
        <family val="2"/>
      </rPr>
      <t>3</t>
    </r>
    <r>
      <rPr>
        <sz val="12"/>
        <rFont val="Century Gothic"/>
        <family val="2"/>
      </rPr>
      <t>)</t>
    </r>
  </si>
  <si>
    <r>
      <t>Volumes mis en distribution  (m</t>
    </r>
    <r>
      <rPr>
        <vertAlign val="superscript"/>
        <sz val="12"/>
        <rFont val="Century Gothic"/>
        <family val="2"/>
      </rPr>
      <t>3</t>
    </r>
    <r>
      <rPr>
        <sz val="12"/>
        <rFont val="Century Gothic"/>
        <family val="2"/>
      </rPr>
      <t>)</t>
    </r>
  </si>
  <si>
    <r>
      <t>Volume de stockage  (m</t>
    </r>
    <r>
      <rPr>
        <vertAlign val="superscript"/>
        <sz val="12"/>
        <rFont val="Century Gothic"/>
        <family val="2"/>
      </rPr>
      <t>3</t>
    </r>
    <r>
      <rPr>
        <sz val="12"/>
        <rFont val="Century Gothic"/>
        <family val="2"/>
      </rPr>
      <t>)</t>
    </r>
  </si>
  <si>
    <t>Taux moyen de renouvellement 
des réseaux (%)</t>
  </si>
  <si>
    <t>Taux de conformité bactériologique (%)</t>
  </si>
  <si>
    <t>Taux de conformité physico-chimique (%)</t>
  </si>
  <si>
    <t>Mobilisation de la ressource (%)</t>
  </si>
  <si>
    <t>Rendement du réseau (%)</t>
  </si>
  <si>
    <t>Objectif Grenelle (%)</t>
  </si>
  <si>
    <t>Taux d'impayés (%)</t>
  </si>
  <si>
    <r>
      <t>Taux d'interruptions
 non programmées (</t>
    </r>
    <r>
      <rPr>
        <sz val="12"/>
        <rFont val="Calibri"/>
        <family val="2"/>
      </rPr>
      <t>‰)</t>
    </r>
  </si>
  <si>
    <r>
      <t>Tarif au m</t>
    </r>
    <r>
      <rPr>
        <vertAlign val="superscript"/>
        <sz val="12"/>
        <rFont val="Century Gothic"/>
        <family val="2"/>
      </rPr>
      <t>3</t>
    </r>
    <r>
      <rPr>
        <sz val="12"/>
        <rFont val="Century Gothic"/>
        <family val="2"/>
      </rPr>
      <t xml:space="preserve">
(Facture 120 m3 TTC avec redevances Agence de l'Eau)</t>
    </r>
  </si>
  <si>
    <t>Longueur du réseau (km)</t>
  </si>
  <si>
    <t>Pourcentage de séparatif (%)</t>
  </si>
  <si>
    <t>Population desservie (hab)</t>
  </si>
  <si>
    <t>Nombre de désobstructions par an</t>
  </si>
  <si>
    <t>Taux moyen renouvellement 
des réseaux (%)</t>
  </si>
  <si>
    <t>Taux de débordements chez l'usager (nb/1000 hab désservis)</t>
  </si>
  <si>
    <t>Mode de gestion SPANC (régie/prestataire)</t>
  </si>
  <si>
    <t>Année dernier SD assainissement</t>
  </si>
  <si>
    <t>Année Dernier Schéma Directeur</t>
  </si>
  <si>
    <r>
      <t>Facture 120 m</t>
    </r>
    <r>
      <rPr>
        <vertAlign val="superscript"/>
        <sz val="12"/>
        <rFont val="Century Gothic"/>
        <family val="2"/>
      </rPr>
      <t>3</t>
    </r>
    <r>
      <rPr>
        <sz val="12"/>
        <rFont val="Century Gothic"/>
        <family val="2"/>
      </rPr>
      <t xml:space="preserve"> TTC avec redevances Agence de l'Eau</t>
    </r>
  </si>
  <si>
    <t>Montant de la PFAC €/m2)</t>
  </si>
  <si>
    <t>Oui</t>
  </si>
  <si>
    <t>1995 puis travaux (traitement biologique) en 2011</t>
  </si>
  <si>
    <t>Conforme</t>
  </si>
  <si>
    <t xml:space="preserve">Présence anormalement élevée de graisses générant des obstructions
3 points du réseau - obstructions fréquentes
</t>
  </si>
  <si>
    <t>400 (estimation)</t>
  </si>
  <si>
    <t>Prestataire (Véolia)</t>
  </si>
  <si>
    <t>Tarif de contrôle dans le cadre d'une vente (TTC)</t>
  </si>
  <si>
    <t>2000 (estimation)</t>
  </si>
  <si>
    <t>Amélioration STEP (2009; 5,5M€)
Renouvellement réseau (1,23M€ de 2011 à 2015)</t>
  </si>
  <si>
    <t>Volumes distribués/achetés (M3/an)</t>
  </si>
  <si>
    <t>1 Poste (capacité 1440m3/h)</t>
  </si>
  <si>
    <t>oui (RAD 2015 56 fuites détectées &amp; réparées - aucune donnée sur linéaire insepcté)</t>
  </si>
  <si>
    <t>Nombre d'interruptions non programmées (Nb/1000 abonnés)</t>
  </si>
  <si>
    <t>Oui - Bas Menton</t>
  </si>
  <si>
    <t>Véolia</t>
  </si>
  <si>
    <t>Oui (compte spécial de renouvellement fonctionnel des canalisations)</t>
  </si>
  <si>
    <t>Collectivité: création d'équipements neufs ou extension
Délgataires: tous les autres travaux</t>
  </si>
  <si>
    <t>2017: 86,5%</t>
  </si>
  <si>
    <t>n.a. (source en Italie)</t>
  </si>
  <si>
    <t>non fourni</t>
  </si>
  <si>
    <t>Absence part collectivité pour la commune</t>
  </si>
  <si>
    <t>Mensualisation réalisée pour 26% des abonnés</t>
  </si>
  <si>
    <t>Délégataire</t>
  </si>
  <si>
    <t>Collecte des eaux usées de la Turbie (pas de convention)
Transfert des eaux usées vers Monaco pour traitement (pas de convention)</t>
  </si>
  <si>
    <t>absence de part fixe sur l'assainissement</t>
  </si>
  <si>
    <t>Aucune STEP sur la commune</t>
  </si>
  <si>
    <t>40km (estimation)</t>
  </si>
  <si>
    <t>Essentiellement unitaire</t>
  </si>
  <si>
    <t>Problèmes de casses (fortes pentes)</t>
  </si>
  <si>
    <t xml:space="preserve">Renouvellement en accompagnement réfection de voirie (non chiffré)
mise en séparatif (non chiffré) </t>
  </si>
  <si>
    <t>renouvellement et mise en séparatif (non chiffré)</t>
  </si>
  <si>
    <t>100 (estimations)</t>
  </si>
  <si>
    <t>200 à 250€</t>
  </si>
  <si>
    <t>contrôles uniquement dans le cadre de ventes</t>
  </si>
  <si>
    <t>2009 (rapport non collecté)</t>
  </si>
  <si>
    <t>Aucun (DSP en aval du réservoir de la Bordina)</t>
  </si>
  <si>
    <t>aucun</t>
  </si>
  <si>
    <t>oui (ml inconnu)</t>
  </si>
  <si>
    <t>renouvellement dans le cadre de la DSP (fond annuel: 30k€ compteurs ; 30k€ branchements ; 140k€ canalisations - engagement 6km/12 ans - dépense réelle nc)</t>
  </si>
  <si>
    <t>fond annuel: 30k€ compteurs ; 30k€ branchements ; 140k€ canalisations - engagement 6km/12 ans - dépense réelle nc</t>
  </si>
  <si>
    <t>Collectivité: Génie civil au-delà de 1500€ + extensions
Délégataire: autres travaux</t>
  </si>
  <si>
    <t>Achat d'eau au SIECL</t>
  </si>
  <si>
    <t xml:space="preserve">n.a. </t>
  </si>
  <si>
    <t>Absence de part collectivité pour la commune</t>
  </si>
  <si>
    <t>23% des abonnés sont mensualisés</t>
  </si>
  <si>
    <t>210+15 privées</t>
  </si>
  <si>
    <t>marché Véolia</t>
  </si>
  <si>
    <t>Réseau en régie
STEP en délégation (concession)</t>
  </si>
  <si>
    <t xml:space="preserve">Collectivité: extensions + entretien et renouvellement réseau hors DSP
Délégataire: entretien, renouvellement du périmètre délégué + respect programme travaux patrimoine. </t>
  </si>
  <si>
    <t>renouvellement géré par le délégataire - programme de renouvellement annexé au contrat</t>
  </si>
  <si>
    <t>Rejets conformes à la norme en vigueur
Jeu indicateurs annexé au contrat mais pas de valeur cible</t>
  </si>
  <si>
    <t>Nombreux ouvrages en domaine privé mais seulement quelques servitudes</t>
  </si>
  <si>
    <t>Absence de part fixe sur la composante assainissement</t>
  </si>
  <si>
    <t>Boues activées lit fluidisé</t>
  </si>
  <si>
    <t>"globalement séparatif"</t>
  </si>
  <si>
    <t>Nombre de débordements (unité/1000 usagers)</t>
  </si>
  <si>
    <t>Ouvrage de transfert vers la nouvelle STEP (4,5M€)</t>
  </si>
  <si>
    <t>49 contrôles réalisés entre 2013 et 2015</t>
  </si>
  <si>
    <t>Matériel intervention (caméra, ballon obturateur, test fumée)
2 véhicules</t>
  </si>
  <si>
    <t>Réduction de 50% de la facture eau pour les résidences secondaires attribuée sur demande</t>
  </si>
  <si>
    <t>300 + 3000 EH</t>
  </si>
  <si>
    <t>N°1 en 1968
N°2 en 2007</t>
  </si>
  <si>
    <t>2 STEPS
N°1 - lit bactérien
N°2 - disques biologiques</t>
  </si>
  <si>
    <t>SCOT CARF 25 logements / an</t>
  </si>
  <si>
    <t>STEP 1 : nc  
STEP 2 : conforme</t>
  </si>
  <si>
    <t>Campagne annuelle de curage préventif</t>
  </si>
  <si>
    <t>Réhabilitation rue Turin (350k€ -2013-2014)
+ petites réparations</t>
  </si>
  <si>
    <t xml:space="preserve">2 secteurs effondrés (intempéries) à réhabiliter (BP 2017 - 160k€)
Seconde moitié rue Turin (600 à 800k€)
1 hameau (Libre) à assainir (env. 100 hab)
A moyen terme STEP 1968 à refaire
</t>
  </si>
  <si>
    <t>450 (estimation)</t>
  </si>
  <si>
    <t>5% (estimation)</t>
  </si>
  <si>
    <t>Contrôle de conception 124€
contrôle de réalisation 160€
1 agent dédié sur Breil et Saorge (délégation du service à Breil)</t>
  </si>
  <si>
    <t>2009 (rapport non fourni)</t>
  </si>
  <si>
    <t>Débit étiage cumulé : 270m3/h
Maglia</t>
  </si>
  <si>
    <t>25 logements / an (SCOT)</t>
  </si>
  <si>
    <t>Absence de compteurs</t>
  </si>
  <si>
    <t xml:space="preserve">6 réservoirs </t>
  </si>
  <si>
    <t>DUP ok (SD)
Pas de périmètre de protection ?</t>
  </si>
  <si>
    <t>98% (qq pb sur 1 hameau)</t>
  </si>
  <si>
    <t>SD 2010 - 6 DUP (2007-2008)</t>
  </si>
  <si>
    <t>aucun  commentaire</t>
  </si>
  <si>
    <t>Protocole transactionnel &amp; convention pour le déversement et traitement des EU de Castellar dans le réseau de Menton</t>
  </si>
  <si>
    <t>3 à 4 obstructions annuelles</t>
  </si>
  <si>
    <t>Marché Véolia Orféo</t>
  </si>
  <si>
    <t>2006 (rapport nc)</t>
  </si>
  <si>
    <t>2 captages + 1 forage</t>
  </si>
  <si>
    <t>50 (estimation)</t>
  </si>
  <si>
    <t>oui (nb nc)</t>
  </si>
  <si>
    <t>DUP en cours (depuis 2009)</t>
  </si>
  <si>
    <t>300 (environ)</t>
  </si>
  <si>
    <t>renouvellement (longueur &amp; montant nc)</t>
  </si>
  <si>
    <t xml:space="preserve">renouvellement branchements plomb </t>
  </si>
  <si>
    <t>En instance depuis 2009</t>
  </si>
  <si>
    <t>convention achat/vente avec Castillon gérée par SIECL</t>
  </si>
  <si>
    <t>aucun marché</t>
  </si>
  <si>
    <t>Absence de redevance sur la préservation de la ressource</t>
  </si>
  <si>
    <t>AEP: SIECL</t>
  </si>
  <si>
    <t>Modification du système tarifaire au 01/01/2017 - intégration au SIECL: tarif AEP SIECL et intégration d'une part fixe sur l'assainissement</t>
  </si>
  <si>
    <t>NB employés techniques à temps Plein Eau/ass</t>
  </si>
  <si>
    <t>Nb employés admin à tps plein Eau &amp; Asst</t>
  </si>
  <si>
    <t>1 STEP Lit bactérien</t>
  </si>
  <si>
    <t>STEP ancienne</t>
  </si>
  <si>
    <t>dégrilleur STEP renouvelé</t>
  </si>
  <si>
    <t>réhabilitation STEP</t>
  </si>
  <si>
    <t>150 (estimation)</t>
  </si>
  <si>
    <t>20% (estimation)</t>
  </si>
  <si>
    <t>Autres contrôles facturés à 220€ 
20-25 contrôles depuis 2011</t>
  </si>
  <si>
    <t>1 captage + 1 forage</t>
  </si>
  <si>
    <t>forage 200m3/j
captage 60 m3/j</t>
  </si>
  <si>
    <t>DUP Source de la Goura 1983
DUP forage en 2014</t>
  </si>
  <si>
    <t>Système de chloration
fuites
pompe forage</t>
  </si>
  <si>
    <t xml:space="preserve">SD: 
suivi traitement &amp; qualité 33k€
régularisation et sécurisation réservoirs (24k€)
protection ouvrages : 65k€
comptage et mesure 48k€
réhab réseau 33k€
Mise aux normes PI (stock + hydrants) : 120 k€
</t>
  </si>
  <si>
    <t>Fournis</t>
  </si>
  <si>
    <t>Intégration au SIECL au 01/01/2017 d'où une baisse de tarif (les tarifs renseignés ici sont ceux du SIECL)</t>
  </si>
  <si>
    <t>3 non utilisables 
4 non aux normes (débit)
3 conformes</t>
  </si>
  <si>
    <t>absence de PFAC</t>
  </si>
  <si>
    <t>1 STEP</t>
  </si>
  <si>
    <t>aucun projet</t>
  </si>
  <si>
    <t>2 (+1 centre SNCF non fonctionnel)</t>
  </si>
  <si>
    <t>1 (cureuse de Tende)</t>
  </si>
  <si>
    <t>Renouvellement pompe PR (13k€)</t>
  </si>
  <si>
    <t>SPANC créé mais inactif</t>
  </si>
  <si>
    <t xml:space="preserve">non </t>
  </si>
  <si>
    <t>3 DUP en cours 1 non initié (SD 2013)</t>
  </si>
  <si>
    <t>100% en 2015 (pb 2014 &amp; 2013)</t>
  </si>
  <si>
    <t>100% (depuis 2013 et dilution des sources pr pb As)</t>
  </si>
  <si>
    <t>Mise en conformité Arsenic (115k€ dont 70k€ subvention)</t>
  </si>
  <si>
    <t>Absence de compteur. Part fixe + part variable indexée sur le nb d'habitants par foyer, la nature de résidence (permanent/saisonnier) et l'actvité économique (restyaurant, hôtel, etc.)</t>
  </si>
  <si>
    <t>10,45€/m2</t>
  </si>
  <si>
    <t>Véolia: entretien et maintenance du réseau (14k€/an) - facturation (2€/facture)</t>
  </si>
  <si>
    <t>EU déversées à Menton pour traitement</t>
  </si>
  <si>
    <t>Absence de parti fixe sur l'assainissement - absence de TVA sur assainissement</t>
  </si>
  <si>
    <t>traitement réalisé à Menton</t>
  </si>
  <si>
    <t>100ml réseau prévu en 2017 (60k€)
étude pour travaux Gemapi à réaliser</t>
  </si>
  <si>
    <t>nc PLU en cours de révision</t>
  </si>
  <si>
    <t>Pas de commentaire</t>
  </si>
  <si>
    <t>Régie + poncutel Véolia</t>
  </si>
  <si>
    <t>oui "à l'amiable"</t>
  </si>
  <si>
    <t>0 (pas PAFC)</t>
  </si>
  <si>
    <t>STEP 1 La Brigue - disques biologiques
STEP 2: Morignole - lit bactérien</t>
  </si>
  <si>
    <t>1000 EH + 300 EH</t>
  </si>
  <si>
    <t>TSEP 1: 1995
STEP 2: 1950</t>
  </si>
  <si>
    <t>création 1950</t>
  </si>
  <si>
    <t>500ml (estimé)</t>
  </si>
  <si>
    <t>pas d'investissement prévu</t>
  </si>
  <si>
    <t>Pb STEP 1 &amp; 2 à refaire
réseau ancien et section insuffisante (diamètre)</t>
  </si>
  <si>
    <t>Renouvellement réseau calé sur voirie (ml et montant nc)</t>
  </si>
  <si>
    <t>Réhabilitation STEP Morginole (285 k€)
Arrêt STEP la Brigue et transfert EU vers Tende (640 k€)
Renouvellement réseau (500ml - non chiffré)</t>
  </si>
  <si>
    <t xml:space="preserve">prestataire </t>
  </si>
  <si>
    <t>Pas de SPANC créé - contrôle dans le cadre des ventes réalisé par un prestataire basé à Fontan</t>
  </si>
  <si>
    <t>1265 m3/j</t>
  </si>
  <si>
    <t>2 x 350 + 1 x 150 m3</t>
  </si>
  <si>
    <t xml:space="preserve">En cours </t>
  </si>
  <si>
    <t>Mise en demeure qualité de l'eau secteur Cianese
Absence de compteurs abonnés
présence de branchements plomb</t>
  </si>
  <si>
    <t>renouvellement sur une rue (linéaire et montant nc)</t>
  </si>
  <si>
    <t>En cours</t>
  </si>
  <si>
    <t>Maintenance et réparations UV - lavage réservoirs (Véolia - min 5k€ + ponctuel)</t>
  </si>
  <si>
    <t>Véoila</t>
  </si>
  <si>
    <t>Collectivité: renforcement, renouvellement &gt; 12m, extension e
Délégataire: entretien, réparation et remplacement &lt; 12m</t>
  </si>
  <si>
    <t>Absence de part fixe sur le tarif en 2016</t>
  </si>
  <si>
    <t>50% transfert puis traitement à Nice (absence de convention)
50% Beausoleil puis Monaco pour traitement (absence de conventions)</t>
  </si>
  <si>
    <t>Absence de traitement sur la commune</t>
  </si>
  <si>
    <t xml:space="preserve">1 zone d'activité </t>
  </si>
  <si>
    <t>Aucun dysfonctionnement noté</t>
  </si>
  <si>
    <t>Mise en séparatif (4km, non chiffré)
extension 250m (non chiffré)</t>
  </si>
  <si>
    <t>Révision PLU en cours
extension ZAE (300 ml, non chiffré)
2 nouveaux réseaux en 2017 (A: 400ml - 241k€ / B: 800ml - 300k€)</t>
  </si>
  <si>
    <t>300 (estimation)</t>
  </si>
  <si>
    <t>SIVOM</t>
  </si>
  <si>
    <t>79 publiques + 20 (env) privées</t>
  </si>
  <si>
    <t>contrat Véolia 18k€ / an</t>
  </si>
  <si>
    <t>Pb de conformité sur des bornes alimentées en DN 60 (nb inconnu)</t>
  </si>
  <si>
    <t xml:space="preserve">conforme </t>
  </si>
  <si>
    <t>réhabilitation prévue (3k€)</t>
  </si>
  <si>
    <t>Réhabilitation STEP (biodiques non fonctionnels, non chiffré)</t>
  </si>
  <si>
    <t>Rien d'après la mairie</t>
  </si>
  <si>
    <t>30 (estimation)</t>
  </si>
  <si>
    <t>0% (estimation)</t>
  </si>
  <si>
    <t>Captage rivière + ultrafiltration</t>
  </si>
  <si>
    <t>Pas de DUP</t>
  </si>
  <si>
    <t>Réhabilitation station ultrafiltration (41k€)</t>
  </si>
  <si>
    <t>Armoire électrique station ultrafiltration à refaire</t>
  </si>
  <si>
    <t>Pas de DUP sur le captage</t>
  </si>
  <si>
    <t>1 contrat Suez entretien ultrafiltration (5,6k€/an)</t>
  </si>
  <si>
    <t>Collectivité: renforcement et extensions, renouvellement génié civil et canalisations, RV
Délégataire: entretien, réparations, renouvellement tournant, électroméca, branchements + travaux concessifs prévus (débitmètres &amp; télésurveillance)</t>
  </si>
  <si>
    <t>aucun commentaire</t>
  </si>
  <si>
    <t>Lit bactérien</t>
  </si>
  <si>
    <t>conforme</t>
  </si>
  <si>
    <t>réhabilitation STEP (non chiffré)</t>
  </si>
  <si>
    <t>Autosurveillance à déployer (nombreux DO)
réhab (150ml) suite intempéries (non chiffré)
réhab STEP à moyen terme</t>
  </si>
  <si>
    <t>DSP affermage 10 ans</t>
  </si>
  <si>
    <t>contrôle conception/réhab 180€
contrôle réalisation 216€</t>
  </si>
  <si>
    <t>0 (absence PFAC)</t>
  </si>
  <si>
    <t>Aucune</t>
  </si>
  <si>
    <t>2 STEPS Lit bactérien</t>
  </si>
  <si>
    <t>600 EH + 200 EH</t>
  </si>
  <si>
    <t>les 2 STEPS 01/01/1956</t>
  </si>
  <si>
    <t>1 STEP OK (SATESE 2014)
1 STEP non conforme</t>
  </si>
  <si>
    <t>Dégrilleur soldaire (2017 20k€)</t>
  </si>
  <si>
    <t>SD 2011
Construction 1 STEP (centralisation traitement) 1,8M€
Réhab et connexion zones ANC au réseau (non chiffré)</t>
  </si>
  <si>
    <t>déléguée Breil/Roya</t>
  </si>
  <si>
    <t>1 captage de source</t>
  </si>
  <si>
    <t>60% (arrêté nc)</t>
  </si>
  <si>
    <t>Absence de compteurs
1 hameau avec interruptions de service régulières
réseau ancien 
1 réservoir ancien</t>
  </si>
  <si>
    <t>renouvellement réseau (ml et montant nc)</t>
  </si>
  <si>
    <t>non (bcp passages terrain privé)</t>
  </si>
  <si>
    <t>5000 EH</t>
  </si>
  <si>
    <t xml:space="preserve">1 projet avec contentieux en cours  - 250 logements - commune opposée </t>
  </si>
  <si>
    <t>Obstruction fréquentes, réseau en mauvais état 
STEP à réhabiliter</t>
  </si>
  <si>
    <t>refection collecteur principal 2013 (350k€, ml nc)
extension 2012</t>
  </si>
  <si>
    <t>Réhab STEP ou nouvelle (SD 2008)
renouvellement réseau</t>
  </si>
  <si>
    <t>600 (estimation)</t>
  </si>
  <si>
    <t>prestataire</t>
  </si>
  <si>
    <t>4 sources + 1 forage 
2 unités chloration + unités UV</t>
  </si>
  <si>
    <t>250 (contentieux en cours, commune opposée au projet)</t>
  </si>
  <si>
    <t>DUP En cours (43% RPQS)</t>
  </si>
  <si>
    <t>Maillage pour éviter pénuries sur certains quartiers (non chiffré)
Renouvellement vannes &amp; compteurs (non chiffré)
Schéma directeur en cours (non chiffré)</t>
  </si>
  <si>
    <t>Attente SD</t>
  </si>
  <si>
    <t>2017 (attente rapport)</t>
  </si>
  <si>
    <t>1 SNCF</t>
  </si>
  <si>
    <t>Entretien réservoirs (SREX - 7,3k€)</t>
  </si>
  <si>
    <t>1 contentieux en cours concernant la création d'une zone de logement (250 logements) - opposition mairie</t>
  </si>
  <si>
    <t>Resource majeure: La Roya + Vésubie (achat)
3 forages et 1 captage en complément</t>
  </si>
  <si>
    <t>Renouvellement réseau (7,2km dont 2,7km SIECL - 1,3M€)</t>
  </si>
  <si>
    <t>Syndicat</t>
  </si>
  <si>
    <t xml:space="preserve">SIECL: renouvellement GC, Espaces verts, campagne renouvellement branchements, renouvellement can &gt; 500k€, extensions
Délégataire: entretien et renouvellement équipements, canalisation (max 500k€), brchts isolés. </t>
  </si>
  <si>
    <t>ILVNC &lt; 10,1m3/j/km (2017)
Rdt 1aire (décret 2012-97)
Indice connaissance patrimoine &gt; 100
Tx interruptions non programmées &lt; 5/1000 ab</t>
  </si>
  <si>
    <t>Achats d'eau à partir de la Roya (concession commune de Menton jusqu'à 2044) + Vésubie
VEG: Monaco, Bas-services de Menton et Beausoleil</t>
  </si>
  <si>
    <t>environ 100</t>
  </si>
  <si>
    <t>11,08€/m2</t>
  </si>
  <si>
    <t>oui 2014-2015 (manque Ca 2016)</t>
  </si>
  <si>
    <t>x</t>
  </si>
  <si>
    <t>oui en 2015</t>
  </si>
  <si>
    <t>oui en 2013</t>
  </si>
  <si>
    <t>Plus affecté en 2016</t>
  </si>
  <si>
    <t>Manque CA 2016</t>
  </si>
  <si>
    <t>Report important en 2016</t>
  </si>
  <si>
    <t>Encours de dette 2016</t>
  </si>
  <si>
    <t>Manque 2015 (actif)</t>
  </si>
  <si>
    <t>Forte augmentation des charges de fonctionnement en 2016</t>
  </si>
  <si>
    <t>Assujetissement TVA</t>
  </si>
  <si>
    <t xml:space="preserve">Epargne nette moyenne </t>
  </si>
  <si>
    <t>Pbm en 2016</t>
  </si>
  <si>
    <t>Pas identifié</t>
  </si>
  <si>
    <t>Caméra d'inspection des fuites, corrélateur accoustique + equipements travaux (mini-pelle, brise roche)</t>
  </si>
  <si>
    <t>SIECL + DSP - absence de M49</t>
  </si>
  <si>
    <t>Sans objet</t>
  </si>
  <si>
    <t>Absence de SD</t>
  </si>
  <si>
    <t>Traitement : 1 injection Cl gazeux 35k€ ; 1 UV 15k€
Protaction captage &amp; ouvrages 46k€
Mise en place compteurs 600k€
Réhab et renouvellement réseau 70k€
remplacement branchements Pb (non chiffré)</t>
  </si>
  <si>
    <t>Pb en 2014</t>
  </si>
  <si>
    <t>Postes de refoulement</t>
  </si>
  <si>
    <t>Existantes (non collectées, nb inconnu)</t>
  </si>
  <si>
    <t>Renouvellement réseau (non chiffré)</t>
  </si>
  <si>
    <t>Aucun commentaire</t>
  </si>
  <si>
    <t>Entretien et curage (SNA 150k€/an)
Travaux (SMBTP 100k€/an)</t>
  </si>
  <si>
    <r>
      <t>Volumes facturés (m</t>
    </r>
    <r>
      <rPr>
        <vertAlign val="superscript"/>
        <sz val="12"/>
        <rFont val="Century Gothic"/>
        <family val="2"/>
      </rPr>
      <t>3</t>
    </r>
    <r>
      <rPr>
        <sz val="10"/>
        <rFont val="Arial"/>
        <family val="2"/>
      </rPr>
      <t>/an</t>
    </r>
    <r>
      <rPr>
        <sz val="12"/>
        <rFont val="Century Gothic"/>
        <family val="2"/>
      </rPr>
      <t>)</t>
    </r>
  </si>
  <si>
    <r>
      <t>Volumes traités (m</t>
    </r>
    <r>
      <rPr>
        <vertAlign val="superscript"/>
        <sz val="12"/>
        <rFont val="Century Gothic"/>
        <family val="2"/>
      </rPr>
      <t>3</t>
    </r>
    <r>
      <rPr>
        <sz val="10"/>
        <rFont val="Arial"/>
        <family val="2"/>
      </rPr>
      <t>/an</t>
    </r>
    <r>
      <rPr>
        <sz val="12"/>
        <rFont val="Century Gothic"/>
        <family val="2"/>
      </rPr>
      <t>)</t>
    </r>
  </si>
  <si>
    <t>Extension réseau en 2013 (150ml - 130k€)
renouvellement 150ml en 2016 (70k€)
Sensibilisation particuliers pour débranchement EP</t>
  </si>
  <si>
    <t>Marché BdC pour désobstructions (Véolia)</t>
  </si>
  <si>
    <t>connexions en AC d'habitations anciennement en ANC (non chiffré)</t>
  </si>
  <si>
    <t>connexions en AC d'habitations actuellement en ANC (non chiffré)</t>
  </si>
  <si>
    <t>Documents du marché non collectés</t>
  </si>
  <si>
    <t>Aucune RH mobilisée car service géré en DSP</t>
  </si>
  <si>
    <t>Taux de curage (% longueur du réseau)</t>
  </si>
  <si>
    <t>Taux de curage préventif (%)</t>
  </si>
  <si>
    <t>5000€ nouvelle construction
2500€ rénovation</t>
  </si>
  <si>
    <t>Contrat d'exploitation réseau + STEP - Véolia - 5 ans - 13k€/an -  échéance 28/02/2021</t>
  </si>
  <si>
    <t>prestataire Alp'biosystème</t>
  </si>
  <si>
    <t>contrôle diagnostic existant 165€
mission suivi/réhab 275€
Très peu de contrôles réalisés</t>
  </si>
  <si>
    <t>1 STEP biodisque (x2) + "BA" (2 bassins biodisques sans disque utilisés en bassin BA)</t>
  </si>
  <si>
    <t>1 marché BdC vidange STEP (6k€/an) - docs non collectés</t>
  </si>
  <si>
    <t>Absence de SPANC</t>
  </si>
  <si>
    <t>Nettoyage &amp; entretien STEP - Suez - 6,4k€/an HT</t>
  </si>
  <si>
    <t>pas de compteurs dans la commune</t>
  </si>
  <si>
    <t>2,2 ETP</t>
  </si>
  <si>
    <t xml:space="preserve">Indice de connaissance 
des réseaux </t>
  </si>
  <si>
    <t>Plan d'actions à mettre en œuvre</t>
  </si>
  <si>
    <t>Nombre de relèves par an</t>
  </si>
  <si>
    <t>Nombre de factures par an</t>
  </si>
  <si>
    <t>Encours de dette au 31/12</t>
  </si>
  <si>
    <t>Existence M49</t>
  </si>
  <si>
    <t>AEP par le SIECL  
Global AEP/ASSt (réparti à 0/100 Technique et 0/100 Admin)</t>
  </si>
  <si>
    <t>AEP par le SIECL  Global AEP/ASSt (réparti à 0/100 Technique et 0/100 Admin)</t>
  </si>
  <si>
    <t>hydrocureuse</t>
  </si>
  <si>
    <t>Oui - Asst</t>
  </si>
  <si>
    <t xml:space="preserve">Oui Eau &amp; Asst </t>
  </si>
  <si>
    <t>Oui - Asst (SIVOM)</t>
  </si>
  <si>
    <t>Oui - Eau</t>
  </si>
  <si>
    <t>TVA (taux appliqué)</t>
  </si>
  <si>
    <t>montant TVA (en €)</t>
  </si>
  <si>
    <t>Montant TVA (€ pour facture type 120m3)</t>
  </si>
  <si>
    <t>Global AEP/ASSt (réparti à 20/80 Technique et 50/50 Admin)
technique: 8 pers dont 1 cadre à temps plein
Admin: nb pers nc - 0 à temps plein (répartition quote-part (8%-150k€)</t>
  </si>
  <si>
    <t>Global AEP/ASSt (réparti à 90/10 Technique et 50/50 Admin):
Technique : 2 agents dont 1 à temps plein
Admin: 1 secrétaire dont 0 à temps plein</t>
  </si>
  <si>
    <t>Global AEP/ASSt (réparti à 50/50 Technique et 50/50 Admin):
Technique : 1 pers dont 0 à temps plein
Admin : 1 pers dont 0 à temps plein</t>
  </si>
  <si>
    <t>Global AEP/ASSt (réparti à 50/50 Technique et 50/50 Admin):
Technique : 2 pers - 0 à temps plein
Admin: 3 pers - 0 à temps plein</t>
  </si>
  <si>
    <t>Global AEP/ASSt (réparti à 50/50 Technique et 50/50 Admin):
Technique : 3 pers - 0 à temps plein
Admin : 2 pers - 0 à temps plein</t>
  </si>
  <si>
    <t>AEP par le SIECL  
Global AEP/ASSt (réparti à 0/100 Technique et 0/100 Admin):
Technique : Nb pers nc - 0 à temps plein
Admin : Nb pers nc - 0 à temps plein 
Personnel non imputé sur budget annexe</t>
  </si>
  <si>
    <t>Global AEP/ASSt (réparti à 0/100 Technique et 0/100 Admin) :
Technique: 2 pers - 0 à temps plein
Admin: nb pers nc - 0 à temps plein</t>
  </si>
  <si>
    <t>Global AEP/ASSt (réparti à 40/60 Technique et 50/50 Admin) :
Technique : 14 pers - 3 à temps plein
Admin: 2 pers - 1 à temps plein</t>
  </si>
  <si>
    <t>Global AEP/ASSt (réparti à 80/20 Technique et 50/50 Admin):
Technique: 2 pers - 0 à temps plein
Admin: 1 pers (+ élus) - 0 à temps plein</t>
  </si>
  <si>
    <t>AEP par le SIECL  
Global AEP/ASSt (réparti à 0/100 Technique et 0/100 Admin):
Technique: 4 pers - 3 à temps plein
Admin: 1 pers -  0 à temps plein</t>
  </si>
  <si>
    <t>Global AEP/ASSt (réparti à 50/50 Technique et 50/50 Admin):
Technique: 4 pers - 0 à temps plein
Admin: 1 pers - 0 à temps plein</t>
  </si>
  <si>
    <t xml:space="preserve">Global AEP/ASSt (réparti à 50/50 Technique et 50/50 Admin): 
Technique: 5 personnes - 2 à temps plein
Admin: 1 personne - 0 à temps plein </t>
  </si>
  <si>
    <t>Technique : 2 personnes - 2 à temps plein
Admin: 2 personnes - 2 à temps plein</t>
  </si>
  <si>
    <t xml:space="preserve">En cours pour les ressources complémentaires </t>
  </si>
  <si>
    <r>
      <t>Indice linéaire des 
volumes non comptés (m</t>
    </r>
    <r>
      <rPr>
        <vertAlign val="superscript"/>
        <sz val="12"/>
        <rFont val="Century Gothic"/>
        <family val="2"/>
      </rPr>
      <t>3</t>
    </r>
    <r>
      <rPr>
        <sz val="12"/>
        <rFont val="Century Gothic"/>
        <family val="2"/>
      </rPr>
      <t>/km/jour)</t>
    </r>
  </si>
  <si>
    <t>3 véhicules (eau et assainissement)</t>
  </si>
  <si>
    <t>Oui Asst collectif et non collectif</t>
  </si>
  <si>
    <t>Oui Asst collectif</t>
  </si>
  <si>
    <t>non. 
En projet: traitement effluent de La Brigue</t>
  </si>
  <si>
    <t>RPQS réalisé Oui/non</t>
  </si>
  <si>
    <t>non créé</t>
  </si>
  <si>
    <t>non existant</t>
  </si>
  <si>
    <t>non transmis</t>
  </si>
  <si>
    <t>Linéaire total de réseau pluvial (km)</t>
  </si>
  <si>
    <t>dont linéaire de réseau enterré (km)</t>
  </si>
  <si>
    <t>dont linéaire de vallons (km)</t>
  </si>
  <si>
    <t>Linéaire de réseau pluvial ENTERRE (km)</t>
  </si>
  <si>
    <t>Linéaire de vallons (réseau pluvial) (km)</t>
  </si>
  <si>
    <t>Contentieux résolu avec la commune de Castellar (protocole transactionnel)</t>
  </si>
  <si>
    <t>Contentieux résolu avec la ville de Menton (protocole transactionnel)</t>
  </si>
  <si>
    <t>Aucun contentieux</t>
  </si>
  <si>
    <t>Problèmes relatifs aux eaux pluviales avec Monaco</t>
  </si>
  <si>
    <t>Partiel (sauf secrétaire de mairie)</t>
  </si>
  <si>
    <t>Commune (Elus)</t>
  </si>
  <si>
    <t>Commencé en 2017 (150k€/an)</t>
  </si>
  <si>
    <t>Sans objet (fin M49 en 2015)</t>
  </si>
  <si>
    <t>TVA en €/m3 (facture type)</t>
  </si>
  <si>
    <t>TVA en €/m3 (facture type 120m3)</t>
  </si>
  <si>
    <t>Délégataire (SIECL)</t>
  </si>
  <si>
    <t>Absence (intervention Véolia à la tâche)</t>
  </si>
  <si>
    <t>Prestataire</t>
  </si>
  <si>
    <t>Agents communaux</t>
  </si>
  <si>
    <t>absence</t>
  </si>
  <si>
    <t>agents techniques</t>
  </si>
  <si>
    <t>170+360+70+90+70+70=830m3</t>
  </si>
  <si>
    <t>28 + 50 + 95*2 + 70=338m3</t>
  </si>
  <si>
    <t>2400 m3</t>
  </si>
  <si>
    <t>oui, nb nc</t>
  </si>
  <si>
    <t>Global AEP/ASSt (réparti à 50/50 Technique et 50/50 Admin)
Tous les agents à temps plein 
1 directeur (50 admin/50 technique)
Technique  4 personnes 
Admin: 1 personne</t>
  </si>
  <si>
    <t xml:space="preserve">Pertes très importantes
Pb conformité bactério (Station UV Barlonnier)
Pénuries d'eau en 2015
</t>
  </si>
  <si>
    <t>Absence de redevance sur le prélèvement de la ressource en eau</t>
  </si>
  <si>
    <t>Pb de disponibilité des ressources
Rendement faible (étude agence de l'eau)
Branchements plomb (estimé à 30)</t>
  </si>
  <si>
    <t>Présence de compteur mais choix de maintenir un système forfaitaire par abonné sans distinction par le nombre d'usagers, les équipements ou la nature de résidence. Absence de redevance prélèvement de la ressource</t>
  </si>
  <si>
    <t>Sans objet (fin M49 en 2014)</t>
  </si>
  <si>
    <t>Arrêt M49 et rattachement au budget général depuis 2015
Encours de dette estimé pour 2015/16</t>
  </si>
  <si>
    <t>5 captages + 1 forage
3 traitements UV + 2 chlore gazeux (réservoirs) + 3 chlore goutte-à-goutte (réservoirs)</t>
  </si>
  <si>
    <t>Fuites importantes (SD 2010), qualité de l'eau sur 1 hameau, absence de comptabilisation des eaux, capacité insuffisante pour 4 réservoirs</t>
  </si>
  <si>
    <t>Tarification forfaitaire indexée sur le nombre et type de robinets des habitations (facture type : 4 robinets, 1 principal à 24,5€/an puis 9,5€/an/robinet supplémentaire). Réduction de 50% accordée sur demande pour les résidences secondaires.</t>
  </si>
  <si>
    <t>non existant mais selon SD: nombreuses canalisations en terrain privé</t>
  </si>
  <si>
    <t>Renouvellement du réseau sur la rue de Turin (tranche 1, 500k€)</t>
  </si>
  <si>
    <t>Installations de compteurs (2M€ budgété puis abandonné)
Tranche 2 de la rue de Turin (500k€)
Renouvellement &amp; renforcement canalisation (SD: 3,3M€)</t>
  </si>
  <si>
    <t>SD 2010: 60% des hydrants conformes</t>
  </si>
  <si>
    <t>5 captages - 2 installations UV - 1 zone de distribution sans traitement</t>
  </si>
  <si>
    <t>Global AEP/ASSt (réparti à 50/50 Technique et 50/50 Admin) :
Technique : 3 pers - 0 à plein temps
Admin : 1 pers - 0 à plein temps</t>
  </si>
  <si>
    <t>Ok (rapport analyse, pas de taux)</t>
  </si>
  <si>
    <t>Mise en demeure UDI Gianese - La Brigue &amp; Morignole Ok</t>
  </si>
  <si>
    <t>mise en conformité secteur Cianese (non chiffré)
renouvellement et renforcement (non chiffré)
Installation de compteurs (non chiffré)</t>
  </si>
  <si>
    <t>1 station de production (chloration - La Roya)</t>
  </si>
  <si>
    <t>Performance hydraulique à améliorer</t>
  </si>
  <si>
    <t>Droit d'eau à Vintimile (convention France/Italie)
Vente d'eau au SIECL &amp; achat pour alimentation Bas Menton
Vente d'eau à Monaco et Vintimile</t>
  </si>
  <si>
    <t>réfection étanchéité réservoir (total 1,3M€ dont 1,15M€ de subvention)</t>
  </si>
  <si>
    <t>Renouvellement réseau selon les "bonnes pratiques" 
Travaux sur le feeder pour augmenter le débit en provenance de Vintimile</t>
  </si>
  <si>
    <t>Absence de compteurs - système de tarification forfaitaire indexé sur les équipements: Evier 12,2€/an, WC: 6,1€/an, robinet supp 9,6€/an. Abonnement annuel 16€/an</t>
  </si>
  <si>
    <t xml:space="preserve">Projet Oct 2017: 5km renouvellement + traitement UV - tot: 1,9M€ dont Prêt 740k€ (dont relais TVA 340k€)
1900 compteurs à installer (1,9M€)
Renouvellement 2km (non chiffré)
</t>
  </si>
  <si>
    <t>4 captages de source - Absence de traitement (chloration uniquement lors du nettoyage des réservoirs)</t>
  </si>
  <si>
    <t xml:space="preserve">Aucun traitement et qq problèmes de conformité bactériologique
Absence de comptage
Fuites élevées (SD 2013)
Présence de branchements plomb (nb nc)
 </t>
  </si>
  <si>
    <t>Projets d'extension (nb foyers)</t>
  </si>
  <si>
    <t>Absence de compteurs. Tarification forfaitaire comprenant un abonnement (77,25€/an), un tarif par robinet (3,10€/an/robinet). Absence de redevance prélèvement de la ressource. Présence d'une cotisation "solidarité avec les communes rurales"</t>
  </si>
  <si>
    <t>1 contrat entretien des réservoirs + station de chloration (11 k€ HT/an)</t>
  </si>
  <si>
    <t>Extension 500ml (Défense incendie parking) souhaitée mais non actée
Installation de compteurs (non chiffré)
réhab et renouvellement réseau (non chiffré)
réhab réservoirs (non chiffré)</t>
  </si>
  <si>
    <t>Aucun ouvrage de production - achat d'eau au SIECL</t>
  </si>
  <si>
    <t>sans objet</t>
  </si>
  <si>
    <t>Problème de qualité de l'eau en 2015 (plomb)</t>
  </si>
  <si>
    <t>aucun (possibilité selon PLU)</t>
  </si>
  <si>
    <t>Renouvellement selon le Plan de Renouvellement 
(fond annuel: 30k€ compteurs ; 30k€ branchements ; 140k€ canalisations - engagement 6km/12 ans - dépense réelle nc)
Branchements en plomb à renouveler ? (pb qualité 2015)</t>
  </si>
  <si>
    <t>Tarissement d'une source en 2016 (a également eu un impact sur la qualité)</t>
  </si>
  <si>
    <t>Intégration du SIECL en cours - 2017</t>
  </si>
  <si>
    <t xml:space="preserve">Intégration du SIECL au 01/01/2017
Absence de M49 - budget reconstitué
</t>
  </si>
  <si>
    <t>1 contrat Véolia arrivé à échéance au 31/12/2016
Intégration SIECL 01/01/2017</t>
  </si>
  <si>
    <t>Absence de part fixe sur le service assainissement.</t>
  </si>
  <si>
    <t>Investissements importants à prévoir sur le réseau (radiers perforés) et les vallons - non chiffré</t>
  </si>
  <si>
    <t>Linéaire total de pluvial (km)</t>
  </si>
  <si>
    <t>Astreinte communale (voirie)</t>
  </si>
  <si>
    <t>10 pour Roquebrune / 95 pour Véolia</t>
  </si>
  <si>
    <t>Réseau vieillissant avec fortes infiltrations
Grilles EP branchées sur réseau EU</t>
  </si>
  <si>
    <t>Commentaires &amp; Investissements à prévoir</t>
  </si>
  <si>
    <t>3 vallons avec équipements (anti-embâcle) nécessitant un entretien régulier
1 bassin en projet (associé à un projet de parking, non chiffré)</t>
  </si>
  <si>
    <t>Problème d'Eaux Claires Parasites</t>
  </si>
  <si>
    <t>TVA non appliquée</t>
  </si>
  <si>
    <t>problématique d'eaux claires parasites</t>
  </si>
  <si>
    <t>Absence de M49 - budget reconstitué</t>
  </si>
  <si>
    <t>5 vallons privés non aménagés (longueur nc) recevant EPU et ruissellements de routes départementales
3 réseaux enterrés d'eaux pluviales réalisés en autofinancement avec exutoires sur les vallons (linéaire nc)
2017-2018: réhabilitation 100ml (non chiffré)</t>
  </si>
  <si>
    <t>Budget SIVOM villefranche
Baisse forte des charges de gestion courante</t>
  </si>
  <si>
    <t>régie (SIVOM)</t>
  </si>
  <si>
    <t>Compétence transférée au SIVOM
Prestation entretien (curage curatif, 10k€/an)</t>
  </si>
  <si>
    <t>3 contentieux en cours liés aux ruissellements - Pb avec Monaco liés aux eaux de ruissellement
3 emprunts en cours (annuité 68k€, capital emprunté estimé à 1M€ depuis 20008)
1 BR en cours de réalisation (500k€)
Réseau: 600ml + BR prévu en 2019 (non chiffré)</t>
  </si>
  <si>
    <t>Désobstructions réalisées 1 à 2 fois par an
Aucun investissement prévu mais à vérifier par une étude spécifique</t>
  </si>
  <si>
    <t>Lit bactérien forte charge</t>
  </si>
  <si>
    <t>Exploitation STEP + 2 PR + travaux STEP (35k€/an HT)
Marché BdC curage et ITV (montant nc)</t>
  </si>
  <si>
    <t>5 vallons principaux 
SD 2007: identification de 5 zones à risques 
Investissements importants sur l'aménagement des vallons (non chiffré)</t>
  </si>
  <si>
    <t>Pas de problème majeur selon la mairie</t>
  </si>
  <si>
    <t>Prestation entretien STEP (biodisque) 4k€/an</t>
  </si>
  <si>
    <t>Problèmes de rejets directs dans le lac lors d'obstructions dans le centre du village (réseau très ancien)
Problématique d'eaux claires parasites
Problèmes d'obstructions réguliers liées aux eaux usées de l'hôpital
Hameau du Libre: exutoire inconnu</t>
  </si>
  <si>
    <t>Exploitation STEP Véolia (55K€ HT/an)
Entretien réseaux Véolia (BdC - commun Eau Potable -  25k€/an)
Travaux et réhabilitation Nicolo (BdC - commun Eau Potable - 50k€/an )</t>
  </si>
  <si>
    <t>Marchés communs pour l'eau potable et l'assainissement
Marchés Véolia (entretien réseaux, BdC, 25k€/an) et Nicolo réparation &amp; réhabilitation réseaux, BdC, 50k€/an)</t>
  </si>
  <si>
    <t>STEPS anciennes à réhabiliter entièrement
1 point noir (affaissement, obstructions)</t>
  </si>
  <si>
    <t xml:space="preserve">Présence de compteur mais choix de maintenir un système forfaitaire par abonné sans distinction par le nombre d'usagers, les équipements ou la nature de résidence. 
Les résidents saisonniers paient le même tarif que les permanents. </t>
  </si>
  <si>
    <t>Tarification forfaitaire indexée sur le nombre de robinets des habitations. Facture type : 1 robinet principal (15€/an) et 3 supplémentaires (3 x 6,75€/an)</t>
  </si>
  <si>
    <t xml:space="preserve">Absence de compteur - tarification forfaitaire basée sur un abonnement annuel 46,35€/an </t>
  </si>
  <si>
    <t>2014-2016 - réhab caniveaux 30k€
travaux prévus 2017 (montant nc)</t>
  </si>
  <si>
    <t>Absence de comptage volumétrique - Tarification forfaitaire absée sur les équipements - facture type: 1 WC (6,1€/an), 1 évier (12,2€/an), 4 robinets sup (4 x 9,6€/an). Abonnement: 32€/an</t>
  </si>
  <si>
    <t>Rejets directs (SD: 30 points, 2 hameaux sans traitement)
Présence cana fibro-ciment
Problématique d'eaux claires parasites</t>
  </si>
  <si>
    <t>Absence de compteur. Tarification forfaitaire indexée sur le nombre de personnes par foyer, permanent &amp; saisonniers, activité économique
Facture type pour 4 personnes (120m3): forfait 96€/an hors taxe et redevances</t>
  </si>
  <si>
    <t>Absence de dépenses sur le pluvial (ni fonctionnement ni investissement)</t>
  </si>
  <si>
    <t xml:space="preserve">5 points de débordement fréquents
problématique d'eaux claires parasites provenant de la voirie  
Process STEP Casterino inefficace
</t>
  </si>
  <si>
    <t>Absence de compteur - tarification forfaitaire indexée sur le type d'équipements. 
Facture type: abonnement à 25€/an, 1 robinet principal (24,4€/an), robinets supplémentaires (36,6€/an) et WC (12,2€/an)</t>
  </si>
  <si>
    <t>Travaux pour mise en séparatif (montant non chiffré)</t>
  </si>
  <si>
    <t>1 STEP à culture fixe sur lit fluidisé</t>
  </si>
  <si>
    <t>15€/m2</t>
  </si>
  <si>
    <t>Manque de moyens humains et financiers sur l'eau, l'assainissement et le pluvial
Transfert de personnel</t>
  </si>
  <si>
    <t>Services localisés à Menton
Définition d'une stratégie commune à l'issue des contrats en cours (DSP)</t>
  </si>
  <si>
    <t>Hausse du prix des services</t>
  </si>
  <si>
    <t>rester à coût constant en personnel sur le budget communal</t>
  </si>
  <si>
    <t>transfert du personnel</t>
  </si>
  <si>
    <t>Devenir du système de tarification actuel</t>
  </si>
  <si>
    <t>Maintenir un service de proximité (connaissance du réseau)</t>
  </si>
  <si>
    <t>Organisation (structuration) du service</t>
  </si>
  <si>
    <t>Hausse du prix</t>
  </si>
  <si>
    <t>Délais très courts, "on ne sait pas trop où on va"</t>
  </si>
  <si>
    <t>Hausse du prix 
 Modification du système de tarification</t>
  </si>
  <si>
    <t>Transfert dans la précipitation, purement juridique</t>
  </si>
  <si>
    <t>Que faire pour les contrats avec échéance au 31/12/2017? (ANC)</t>
  </si>
  <si>
    <t>Attente que le transfert soit effectif</t>
  </si>
  <si>
    <t>Perte de proximité</t>
  </si>
  <si>
    <t>Mobilisation de l'excédent pour travaux sur La Turbie</t>
  </si>
  <si>
    <t>GEMAPI</t>
  </si>
  <si>
    <t>Gestion des vallons par la CARf</t>
  </si>
  <si>
    <t>Service en sous-effectif
conventions de gestion complexes à gérer</t>
  </si>
  <si>
    <t>mobilisation de l'excédent sur sa commune</t>
  </si>
  <si>
    <t>Transfert précipité
Hausse des prix</t>
  </si>
  <si>
    <t>Calendrier très contraint</t>
  </si>
  <si>
    <t>Fusion des contrats de DSP</t>
  </si>
  <si>
    <t>Travaux laissés en attente par certaines communes
Délais contraints</t>
  </si>
  <si>
    <t>110 (commune)
80 (Véolia)</t>
  </si>
  <si>
    <t>Déplacement PR (montant 1,1M€, prévu 2017-2018)
Renouvellement &amp; réhabilitation réseau (1M€, 2016-2018)</t>
  </si>
  <si>
    <t>Manque de réseau d'eaux pluviales dans plusieurs zones de la commune - réseau unitaire insuffisant : déversements élevés, insuffisance des PR et du réseau (SD 2014) 
Création de réseau pluvial (1,3M€, 2016-2018)</t>
  </si>
  <si>
    <t>1 marché fourniture de réactifs (14k€ - 2015)
1 marché curage/désobstruction  (30k€ - 2015)
1 marché maintenance PR  (4k€ - 2015)
1 marché réparations  (47k€ - 2015)</t>
  </si>
  <si>
    <t>Prestation pour l'audit des comptes (France Finances, 10k€/an)</t>
  </si>
  <si>
    <t>Traitement des effluents: Gorbio, Sainte Agnès, Castellar, Vintimille</t>
  </si>
  <si>
    <t>Instauration d'une redevance Ville : 0,40€ HT/an/usager
Contrôle dans le cadre d'une vente 144€
Contre-visite 126€
Avis de conception 78€</t>
  </si>
  <si>
    <t>Contrôle des comptes du délégataire (17k€/an - Audit France Finances)</t>
  </si>
  <si>
    <t>Aucun SD réalisé</t>
  </si>
  <si>
    <t>1 marché de contrôle (Sudhydrants)
1 marché d'entretien et de pose (Véolia)</t>
  </si>
  <si>
    <t>3 véhicules</t>
  </si>
  <si>
    <t>1 contentieux avec Eau d'Azur (Nice)
1 contentieux avec préfecture des Alpes Maritimes
1 contentieux avec l'entreprise VICA</t>
  </si>
  <si>
    <t>2016 "Redevances versées par les fermiers et concessionnaires" 3,4 M d'€: reversement de l'achat d'eau par le délégataire. Attente du paiement à Nice (contentieux), 1,8M€ payé en 2017
Forte diminution encours de dette en 2016</t>
  </si>
  <si>
    <t>Dépendance / ressource externe</t>
  </si>
  <si>
    <t>513k€/an</t>
  </si>
  <si>
    <t>Travaux Vésubie 8M€ (1/3 SIECL ; 2/3 Monaco)
forage reconnaissance pour ress interne (80k€)
renouvellement réseau (délégataire 440k€/an branchements, compteurs &amp; éléectroméca; 513k€/an canalisation - SIECL 4,7M€ budget 2017 - 770k€ réalisé 2015)</t>
  </si>
  <si>
    <t>Pose d'un dégrilleur automatique (33k€)
3 STEPs (345k€ + 225k€ + 200k€)
supression rejets directs (215k€)
renouvellement réseau fibro-ciment (340k€)
réhab réseau + regards (60k€)</t>
  </si>
  <si>
    <t>13/07/21013</t>
  </si>
  <si>
    <t>10% (estimation)</t>
  </si>
  <si>
    <t>Oui (nb non connu)</t>
  </si>
  <si>
    <t>Vallons couverts (&gt;50% de la longueur de vallons) entretenus par la ville  et vallons non couverts (&lt;50% longueur de vallons) entretenus par la CARF/SMIAGE 
RH collectivité: 2,2 ETP dont 0,2 pour les travaux - 2 personnes à temps plein
Prestations : BdC - 3 lots: curage (Véolia, 10 à 400k€, environ 200k€/an réalisé), génie civil (SMBTP, 3 à 200k€, moyenne réalisée nc), enquêtes (Véolia, 1 à 50k€, moyenne réalisée nc)
3 PR entretenus par Véolia (60k€/an)</t>
  </si>
  <si>
    <t>Exercice 2015</t>
  </si>
  <si>
    <t>Exercice 2016</t>
  </si>
  <si>
    <t>Année de l'Exercice de collecte des données</t>
  </si>
  <si>
    <r>
      <t>Volume de ventes en gros (m</t>
    </r>
    <r>
      <rPr>
        <vertAlign val="superscript"/>
        <sz val="12"/>
        <rFont val="Century Gothic"/>
        <family val="2"/>
      </rPr>
      <t>3</t>
    </r>
    <r>
      <rPr>
        <sz val="12"/>
        <rFont val="Century Gothic"/>
        <family val="2"/>
      </rPr>
      <t>)</t>
    </r>
  </si>
  <si>
    <r>
      <t>Volumes d'achats en gros  (m</t>
    </r>
    <r>
      <rPr>
        <vertAlign val="superscript"/>
        <sz val="12"/>
        <rFont val="Century Gothic"/>
        <family val="2"/>
      </rPr>
      <t>3</t>
    </r>
    <r>
      <rPr>
        <sz val="12"/>
        <rFont val="Century Gothic"/>
        <family val="2"/>
      </rPr>
      <t>)</t>
    </r>
  </si>
  <si>
    <t>Volume produit (m3)</t>
  </si>
  <si>
    <t>Volume Produit (m3)</t>
  </si>
  <si>
    <t>Volume d'achat en gros (m3)</t>
  </si>
  <si>
    <t>volume de vente en gros (m3)</t>
  </si>
  <si>
    <t>absence de compteurs</t>
  </si>
  <si>
    <t>MDG Eau</t>
  </si>
  <si>
    <t>MDG Assainissement</t>
  </si>
  <si>
    <t>Nb abonnés Eau</t>
  </si>
  <si>
    <t>Nb abonnés Ass</t>
  </si>
  <si>
    <t>3 réservoirs : 2 à Cima Di Gavi (500 + 11000m3) + Bévcéra (pas de rôle de distribution)</t>
  </si>
  <si>
    <t>500+11000=11500m3</t>
  </si>
  <si>
    <t>Investissements prévus sur le pluvial</t>
  </si>
  <si>
    <t>3 véhicules, 1 scooter, 1 caméra, 1 détecteur fluorescéine, 1 tablette et GPS, canne télescopique, lasermètre, 
 détecteurs de gaz, pluviomètre, logiciel SIG (ArcMap, Arcpad)</t>
  </si>
</sst>
</file>

<file path=xl/styles.xml><?xml version="1.0" encoding="utf-8"?>
<styleSheet xmlns="http://schemas.openxmlformats.org/spreadsheetml/2006/main" xmlns:mc="http://schemas.openxmlformats.org/markup-compatibility/2006" xmlns:x14ac="http://schemas.microsoft.com/office/spreadsheetml/2009/9/ac" mc:Ignorable="x14ac">
  <numFmts count="63">
    <numFmt numFmtId="6" formatCode="#,##0\ &quot;€&quot;;[Red]\-#,##0\ &quot;€&quot;"/>
    <numFmt numFmtId="44" formatCode="_-* #,##0.00\ &quot;€&quot;_-;\-* #,##0.00\ &quot;€&quot;_-;_-* &quot;-&quot;??\ &quot;€&quot;_-;_-@_-"/>
    <numFmt numFmtId="43" formatCode="_-* #,##0.00\ _€_-;\-* #,##0.00\ _€_-;_-* &quot;-&quot;??\ _€_-;_-@_-"/>
    <numFmt numFmtId="164" formatCode="0.0%"/>
    <numFmt numFmtId="165" formatCode="0.000"/>
    <numFmt numFmtId="166" formatCode="0.0"/>
    <numFmt numFmtId="171" formatCode="#,##0&quot; m3&quot;"/>
    <numFmt numFmtId="175" formatCode="#,##0&quot; h&quot;"/>
    <numFmt numFmtId="177" formatCode="#,##0\ _&gt;;[Red]\&lt;\ #,##0&quot; &quot;\&gt;;0\ _&gt;;&quot;TEXTE!   &quot;"/>
    <numFmt numFmtId="178" formatCode="_-* #,##0.00\ [$€]_-;\-* #,##0.00\ [$€]_-;_-* &quot;-&quot;??\ [$€]_-;_-@_-"/>
    <numFmt numFmtId="179" formatCode="_-* #,##0.00\ [$€-1]_-;\-* #,##0.00\ [$€-1]_-;_-* &quot;-&quot;??\ [$€-1]_-"/>
    <numFmt numFmtId="180" formatCode="_-* #,##0.00\ _F_-;\-* #,##0.00\ _F_-;_-* &quot;-&quot;??\ _F_-;_-@_-"/>
    <numFmt numFmtId="181" formatCode="#,##0.0&quot; km&quot;"/>
    <numFmt numFmtId="182" formatCode="_-* #,##0\ [$€-40C]_-;\-* #,##0\ [$€-40C]_-;_-* &quot;-&quot;??\ [$€-40C]_-;_-@_-"/>
    <numFmt numFmtId="183" formatCode="##0.0&quot; ab/km&quot;"/>
    <numFmt numFmtId="184" formatCode="#,##0;&quot;-&quot;;&quot;-&quot;"/>
    <numFmt numFmtId="189" formatCode="_-* #,##0.00,\€_-;\-* #,##0.00,\€_-;_-* \-??&quot; €&quot;_-;_-@_-"/>
    <numFmt numFmtId="192" formatCode="#,##0.00\ &quot;€&quot;"/>
    <numFmt numFmtId="193" formatCode="_-* #,##0\ &quot;€&quot;_-;\-* #,##0\ &quot;€&quot;_-;_-* &quot;-&quot;??\ &quot;€&quot;_-;_-@_-"/>
    <numFmt numFmtId="194" formatCode="_-* #,##0\ _F_-;\-* #,##0\ _F_-;_-* &quot;-&quot;\ _F_-;_-@_-"/>
    <numFmt numFmtId="195" formatCode="#,##0.00;[Red]\-\ #,##0.00"/>
    <numFmt numFmtId="196" formatCode="0.000%"/>
    <numFmt numFmtId="197" formatCode="0.0000%"/>
    <numFmt numFmtId="198" formatCode="0.000000000%"/>
    <numFmt numFmtId="199" formatCode="0.000000000"/>
    <numFmt numFmtId="200" formatCode="0.00000000000"/>
    <numFmt numFmtId="201" formatCode="0.000000"/>
    <numFmt numFmtId="202" formatCode="0.0000000"/>
    <numFmt numFmtId="203" formatCode="0###"/>
    <numFmt numFmtId="204" formatCode="0\4\T0###"/>
    <numFmt numFmtId="205" formatCode="#,##0.00_)&quot; F&quot;;[Red]\(\-#,##0.00\)&quot; F&quot;"/>
    <numFmt numFmtId="206" formatCode="mmm\-yyyy"/>
    <numFmt numFmtId="207" formatCode="#,##0.000000;\-\ #,##0.000000"/>
    <numFmt numFmtId="208" formatCode="0000#"/>
    <numFmt numFmtId="209" formatCode="0##"/>
    <numFmt numFmtId="210" formatCode="\T####"/>
    <numFmt numFmtId="211" formatCode="\T@"/>
    <numFmt numFmtId="212" formatCode="&quot;0&quot;0"/>
    <numFmt numFmtId="213" formatCode="0\4####"/>
    <numFmt numFmtId="214" formatCode="#,##0.00&quot; €/m3&quot;"/>
    <numFmt numFmtId="215" formatCode="#,##0\ _&gt;;[Red]\&lt;\ #,##0&quot; &quot;\&gt;;&quot;-&quot;\ _&gt;"/>
    <numFmt numFmtId="216" formatCode="0.00\ _&gt;;[Red]\&lt;\ 0.00&quot; &quot;\&gt;;&quot;-&quot;\ _&gt;"/>
    <numFmt numFmtId="217" formatCode="0.00%\ _&gt;;[Red]\&lt;\ 0.00%&quot; &quot;\&gt;;&quot;-&quot;\ _&gt;"/>
    <numFmt numFmtId="218" formatCode="#,##0.00&quot; €&quot;"/>
    <numFmt numFmtId="219" formatCode="#,##0&quot; €&quot;"/>
    <numFmt numFmtId="220" formatCode="#,##0.00&quot; €/m3 TTC&quot;"/>
    <numFmt numFmtId="221" formatCode="#,##0.00&quot; ETP&quot;"/>
    <numFmt numFmtId="224" formatCode="#,##0.00&quot; km&quot;"/>
    <numFmt numFmtId="225" formatCode="_-* #,##0.0000\ &quot;€&quot;_-;\-* #,##0.0000\ &quot;€&quot;_-;_-* &quot;-&quot;??\ &quot;€&quot;_-;_-@_-"/>
    <numFmt numFmtId="226" formatCode="#,##0.00&quot; m3/j/km&quot;"/>
    <numFmt numFmtId="227" formatCode="_-* #,##0\ _€_-;\-* #,##0\ _€_-;_-* &quot;-&quot;??\ _€_-;_-@_-"/>
    <numFmt numFmtId="228" formatCode="#,##0&quot; EH&quot;"/>
    <numFmt numFmtId="229" formatCode="#,##0\ &quot;€&quot;;&quot;-&quot;;&quot;-&quot;"/>
    <numFmt numFmtId="230" formatCode="#,##0&quot; m3&quot;;&quot;-&quot;"/>
    <numFmt numFmtId="231" formatCode="#,##0.0&quot; km&quot;;&quot;-&quot;;&quot;-&quot;"/>
    <numFmt numFmtId="232" formatCode="#,##0&quot; m3&quot;;&quot;-&quot;;&quot;-&quot;"/>
    <numFmt numFmtId="233" formatCode="#,##0;"/>
    <numFmt numFmtId="234" formatCode="#,##0&quot; m3/an&quot;;&quot;-&quot;;&quot;-&quot;"/>
    <numFmt numFmtId="235" formatCode="#,##0&quot; km&quot;;&quot;-&quot;;&quot;-&quot;"/>
    <numFmt numFmtId="236" formatCode="#,##0&quot; pour 1000 abonnés&quot;"/>
    <numFmt numFmtId="237" formatCode="#,##0\ &quot;€&quot;"/>
    <numFmt numFmtId="238" formatCode="#,##0&quot; €/contrôle&quot;"/>
    <numFmt numFmtId="239" formatCode="#,##0&quot; €/m2&quot;"/>
  </numFmts>
  <fonts count="12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b/>
      <sz val="10"/>
      <name val="Verdana"/>
      <family val="2"/>
    </font>
    <font>
      <b/>
      <sz val="10"/>
      <name val="Arial"/>
      <family val="2"/>
    </font>
    <font>
      <sz val="9"/>
      <color indexed="81"/>
      <name val="Tahoma"/>
      <family val="2"/>
    </font>
    <font>
      <b/>
      <sz val="9"/>
      <color indexed="81"/>
      <name val="Tahoma"/>
      <family val="2"/>
    </font>
    <font>
      <b/>
      <i/>
      <sz val="10"/>
      <name val="Arial"/>
      <family val="2"/>
    </font>
    <font>
      <sz val="10"/>
      <name val="MS Sans Serif"/>
      <family val="2"/>
    </font>
    <font>
      <sz val="10"/>
      <name val="Arial"/>
      <family val="2"/>
    </font>
    <font>
      <sz val="9"/>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2"/>
      <name val="Times New Roman"/>
      <family val="1"/>
    </font>
    <font>
      <sz val="8"/>
      <color indexed="8"/>
      <name val="Times New Roman"/>
      <family val="2"/>
    </font>
    <font>
      <b/>
      <sz val="11"/>
      <color indexed="63"/>
      <name val="Calibri"/>
      <family val="2"/>
    </font>
    <font>
      <sz val="10"/>
      <name val="Sans Serif PS"/>
    </font>
    <font>
      <b/>
      <sz val="18"/>
      <color indexed="56"/>
      <name val="Cambria"/>
      <family val="2"/>
    </font>
    <font>
      <b/>
      <sz val="11"/>
      <color indexed="8"/>
      <name val="Calibri"/>
      <family val="2"/>
    </font>
    <font>
      <sz val="12"/>
      <color theme="3"/>
      <name val="Calibri"/>
      <family val="2"/>
      <scheme val="minor"/>
    </font>
    <font>
      <sz val="9"/>
      <color theme="1"/>
      <name val="Calibri"/>
      <family val="2"/>
      <scheme val="minor"/>
    </font>
    <font>
      <sz val="12"/>
      <color rgb="FF000000"/>
      <name val="Arial"/>
      <family val="2"/>
    </font>
    <font>
      <sz val="10"/>
      <name val="Century Gothic"/>
      <family val="2"/>
    </font>
    <font>
      <sz val="20"/>
      <color theme="2" tint="-0.499984740745262"/>
      <name val="Century Gothic"/>
      <family val="2"/>
    </font>
    <font>
      <sz val="28"/>
      <name val="Century Gothic"/>
      <family val="2"/>
    </font>
    <font>
      <sz val="16"/>
      <name val="Century Gothic"/>
      <family val="2"/>
    </font>
    <font>
      <sz val="16"/>
      <color rgb="FFFF0000"/>
      <name val="Century Gothic"/>
      <family val="2"/>
    </font>
    <font>
      <b/>
      <sz val="16"/>
      <color theme="0"/>
      <name val="Century Gothic"/>
      <family val="2"/>
    </font>
    <font>
      <b/>
      <sz val="12"/>
      <color theme="0"/>
      <name val="Century Gothic"/>
      <family val="2"/>
    </font>
    <font>
      <sz val="12"/>
      <name val="Century Gothic"/>
      <family val="2"/>
    </font>
    <font>
      <b/>
      <sz val="12"/>
      <name val="Century Gothic"/>
      <family val="2"/>
    </font>
    <font>
      <b/>
      <sz val="16"/>
      <name val="Century Gothic"/>
      <family val="2"/>
    </font>
    <font>
      <sz val="10"/>
      <color theme="0"/>
      <name val="Century Gothic"/>
      <family val="2"/>
    </font>
    <font>
      <sz val="14"/>
      <name val="Century Gothic"/>
      <family val="2"/>
    </font>
    <font>
      <b/>
      <sz val="14"/>
      <name val="Century Gothic"/>
      <family val="2"/>
    </font>
    <font>
      <sz val="24"/>
      <name val="Century Gothic"/>
      <family val="2"/>
    </font>
    <font>
      <sz val="11"/>
      <name val="Century Gothic"/>
      <family val="2"/>
    </font>
    <font>
      <sz val="22"/>
      <name val="Century Gothic"/>
      <family val="2"/>
    </font>
    <font>
      <sz val="11"/>
      <color rgb="FF000000"/>
      <name val="Calibri"/>
      <family val="2"/>
      <charset val="1"/>
    </font>
    <font>
      <sz val="11"/>
      <color rgb="FF006100"/>
      <name val="Calibri"/>
      <family val="2"/>
      <scheme val="minor"/>
    </font>
    <font>
      <b/>
      <sz val="9"/>
      <name val="Arial"/>
      <family val="2"/>
    </font>
    <font>
      <u/>
      <sz val="10"/>
      <color indexed="12"/>
      <name val="Arial"/>
      <family val="2"/>
    </font>
    <font>
      <sz val="8"/>
      <color indexed="9"/>
      <name val="Arial"/>
      <family val="2"/>
    </font>
    <font>
      <b/>
      <sz val="10"/>
      <name val="MS Sans Serif"/>
      <family val="2"/>
    </font>
    <font>
      <sz val="11"/>
      <color rgb="FF000000"/>
      <name val="Calibri"/>
      <family val="2"/>
      <charset val="204"/>
    </font>
    <font>
      <sz val="9"/>
      <color theme="1"/>
      <name val="Calibri"/>
      <family val="2"/>
    </font>
    <font>
      <sz val="10"/>
      <color rgb="FF000000"/>
      <name val="Times New Roman"/>
      <family val="1"/>
    </font>
    <font>
      <sz val="11"/>
      <color theme="1"/>
      <name val="Tahoma"/>
      <family val="2"/>
    </font>
    <font>
      <b/>
      <sz val="12"/>
      <name val="Verdana"/>
      <family val="2"/>
    </font>
    <font>
      <sz val="14"/>
      <name val="Verdana"/>
      <family val="2"/>
    </font>
    <font>
      <sz val="8"/>
      <color indexed="23"/>
      <name val="Arial"/>
      <family val="2"/>
    </font>
    <font>
      <i/>
      <sz val="12"/>
      <name val="Century Gothic"/>
      <family val="2"/>
    </font>
    <font>
      <sz val="10"/>
      <color rgb="FF000000"/>
      <name val="Arial"/>
      <family val="2"/>
    </font>
    <font>
      <sz val="9"/>
      <color rgb="FF000000"/>
      <name val="Century Gothic"/>
      <family val="2"/>
    </font>
    <font>
      <sz val="9"/>
      <color theme="1"/>
      <name val="Century Gothic"/>
      <family val="2"/>
    </font>
    <font>
      <sz val="10"/>
      <color rgb="FF000000"/>
      <name val="Century Gothic"/>
      <family val="2"/>
    </font>
    <font>
      <sz val="10"/>
      <color theme="1"/>
      <name val="Century Gothic"/>
      <family val="2"/>
    </font>
    <font>
      <b/>
      <sz val="9"/>
      <color theme="0"/>
      <name val="Calibri"/>
      <family val="2"/>
      <scheme val="minor"/>
    </font>
    <font>
      <b/>
      <sz val="8"/>
      <color theme="0"/>
      <name val="Century Gothic"/>
      <family val="2"/>
    </font>
    <font>
      <sz val="9"/>
      <name val="Century Gothic"/>
      <family val="2"/>
    </font>
    <font>
      <sz val="9"/>
      <color theme="0"/>
      <name val="Century Gothic"/>
      <family val="2"/>
    </font>
    <font>
      <b/>
      <sz val="9"/>
      <color theme="0"/>
      <name val="Century Gothic"/>
      <family val="2"/>
    </font>
    <font>
      <b/>
      <sz val="14"/>
      <color theme="1"/>
      <name val="Century Gothic"/>
      <family val="2"/>
    </font>
    <font>
      <sz val="10"/>
      <name val="Arial"/>
      <family val="2"/>
    </font>
    <font>
      <sz val="12"/>
      <color theme="0"/>
      <name val="Century Gothic"/>
      <family val="2"/>
    </font>
    <font>
      <sz val="16"/>
      <color theme="0"/>
      <name val="Century Gothic"/>
      <family val="2"/>
    </font>
    <font>
      <b/>
      <sz val="11"/>
      <color theme="1"/>
      <name val="Century Gothic"/>
      <family val="2"/>
    </font>
    <font>
      <b/>
      <sz val="11"/>
      <color theme="4" tint="-0.249977111117893"/>
      <name val="Century Gothic"/>
      <family val="2"/>
    </font>
    <font>
      <b/>
      <sz val="9"/>
      <color rgb="FFFF0000"/>
      <name val="Century Gothic"/>
      <family val="2"/>
    </font>
    <font>
      <sz val="10"/>
      <color rgb="FFFF0000"/>
      <name val="Arial"/>
      <family val="2"/>
    </font>
    <font>
      <sz val="11"/>
      <color theme="1"/>
      <name val="Century Gothic"/>
      <family val="2"/>
    </font>
    <font>
      <b/>
      <sz val="10"/>
      <color theme="0"/>
      <name val="Century Gothic"/>
      <family val="2"/>
    </font>
    <font>
      <b/>
      <sz val="10"/>
      <color theme="1"/>
      <name val="Century Gothic"/>
      <family val="2"/>
    </font>
    <font>
      <sz val="11"/>
      <color theme="3" tint="0.79998168889431442"/>
      <name val="Calibri"/>
      <family val="2"/>
      <scheme val="minor"/>
    </font>
    <font>
      <b/>
      <sz val="11"/>
      <name val="Century Gothic"/>
      <family val="2"/>
    </font>
    <font>
      <sz val="11"/>
      <color theme="0"/>
      <name val="Century Gothic"/>
      <family val="2"/>
    </font>
    <font>
      <sz val="12"/>
      <name val="Arial"/>
      <family val="2"/>
    </font>
    <font>
      <b/>
      <sz val="22"/>
      <name val="Century Gothic"/>
      <family val="2"/>
    </font>
    <font>
      <sz val="10"/>
      <color theme="0"/>
      <name val="Arial Narrow"/>
      <family val="2"/>
    </font>
    <font>
      <vertAlign val="superscript"/>
      <sz val="12"/>
      <name val="Century Gothic"/>
      <family val="2"/>
    </font>
    <font>
      <sz val="12"/>
      <name val="Calibri"/>
      <family val="2"/>
    </font>
    <font>
      <sz val="10"/>
      <name val="Calibri"/>
      <family val="2"/>
    </font>
    <font>
      <b/>
      <sz val="10"/>
      <name val="Calibri"/>
      <family val="2"/>
    </font>
    <font>
      <i/>
      <sz val="14"/>
      <name val="Century Gothic"/>
      <family val="2"/>
    </font>
  </fonts>
  <fills count="62">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0.59999389629810485"/>
        <bgColor indexed="64"/>
      </patternFill>
    </fill>
    <fill>
      <patternFill patternType="solid">
        <fgColor rgb="FFFFFF00"/>
        <bgColor indexed="64"/>
      </patternFill>
    </fill>
    <fill>
      <patternFill patternType="solid">
        <fgColor rgb="FFFFFFCC"/>
      </patternFill>
    </fill>
    <fill>
      <patternFill patternType="solid">
        <fgColor indexed="42"/>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3" tint="-0.249977111117893"/>
        <bgColor indexed="64"/>
      </patternFill>
    </fill>
    <fill>
      <patternFill patternType="solid">
        <fgColor theme="9" tint="0.39997558519241921"/>
        <bgColor indexed="64"/>
      </patternFill>
    </fill>
    <fill>
      <patternFill patternType="solid">
        <fgColor rgb="FFC6EFCE"/>
      </patternFill>
    </fill>
    <fill>
      <patternFill patternType="solid">
        <fgColor indexed="47"/>
        <bgColor indexed="8"/>
      </patternFill>
    </fill>
    <fill>
      <patternFill patternType="solid">
        <fgColor indexed="42"/>
        <bgColor indexed="64"/>
      </patternFill>
    </fill>
    <fill>
      <patternFill patternType="solid">
        <fgColor theme="3"/>
        <bgColor indexed="64"/>
      </patternFill>
    </fill>
    <fill>
      <patternFill patternType="solid">
        <fgColor theme="3" tint="0.39997558519241921"/>
        <bgColor indexed="64"/>
      </patternFill>
    </fill>
    <fill>
      <patternFill patternType="solid">
        <fgColor theme="7"/>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theme="8" tint="-0.249977111117893"/>
        <bgColor indexed="64"/>
      </patternFill>
    </fill>
    <fill>
      <patternFill patternType="solid">
        <fgColor theme="6"/>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87A80C"/>
        <bgColor indexed="64"/>
      </patternFill>
    </fill>
    <fill>
      <patternFill patternType="solid">
        <fgColor rgb="FFFCBC5E"/>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9998168889431442"/>
        <bgColor indexed="64"/>
      </patternFill>
    </fill>
    <fill>
      <patternFill patternType="solid">
        <fgColor rgb="FF99CC00"/>
        <bgColor indexed="64"/>
      </patternFill>
    </fill>
  </fills>
  <borders count="9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style="medium">
        <color indexed="22"/>
      </left>
      <right style="medium">
        <color indexed="22"/>
      </right>
      <top style="medium">
        <color indexed="22"/>
      </top>
      <bottom style="medium">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indexed="64"/>
      </right>
      <top/>
      <bottom/>
      <diagonal/>
    </border>
    <border>
      <left style="medium">
        <color indexed="64"/>
      </left>
      <right style="medium">
        <color indexed="64"/>
      </right>
      <top/>
      <bottom style="dotted">
        <color indexed="64"/>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int="-0.14996795556505021"/>
      </top>
      <bottom style="thin">
        <color theme="0" tint="-0.1499679555650502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top/>
      <bottom/>
      <diagonal/>
    </border>
    <border>
      <left style="thin">
        <color indexed="64"/>
      </left>
      <right/>
      <top style="thin">
        <color indexed="64"/>
      </top>
      <bottom style="thin">
        <color indexed="64"/>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bottom/>
      <diagonal/>
    </border>
    <border>
      <left style="thin">
        <color auto="1"/>
      </left>
      <right style="thin">
        <color auto="1"/>
      </right>
      <top style="thin">
        <color auto="1"/>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thin">
        <color indexed="64"/>
      </right>
      <top style="hair">
        <color theme="6" tint="-0.499984740745262"/>
      </top>
      <bottom style="hair">
        <color theme="6" tint="-0.499984740745262"/>
      </bottom>
      <diagonal/>
    </border>
    <border>
      <left style="thin">
        <color indexed="64"/>
      </left>
      <right style="hair">
        <color theme="6" tint="-0.499984740745262"/>
      </right>
      <top style="hair">
        <color theme="6" tint="-0.499984740745262"/>
      </top>
      <bottom style="hair">
        <color theme="6" tint="-0.499984740745262"/>
      </bottom>
      <diagonal/>
    </border>
    <border>
      <left style="thin">
        <color indexed="64"/>
      </left>
      <right style="thin">
        <color indexed="64"/>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thin">
        <color theme="4" tint="-0.499984740745262"/>
      </left>
      <right style="thin">
        <color theme="4" tint="-0.499984740745262"/>
      </right>
      <top/>
      <bottom style="thin">
        <color indexed="64"/>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style="thin">
        <color theme="4" tint="-0.499984740745262"/>
      </left>
      <right style="hair">
        <color auto="1"/>
      </right>
      <top style="thin">
        <color theme="4" tint="-0.499984740745262"/>
      </top>
      <bottom style="thin">
        <color theme="3" tint="-0.499984740745262"/>
      </bottom>
      <diagonal/>
    </border>
    <border>
      <left style="hair">
        <color auto="1"/>
      </left>
      <right style="thin">
        <color theme="3" tint="-0.499984740745262"/>
      </right>
      <top style="thin">
        <color theme="4" tint="-0.499984740745262"/>
      </top>
      <bottom style="thin">
        <color theme="3" tint="-0.499984740745262"/>
      </bottom>
      <diagonal/>
    </border>
    <border>
      <left style="thin">
        <color theme="4" tint="-0.499984740745262"/>
      </left>
      <right style="hair">
        <color auto="1"/>
      </right>
      <top/>
      <bottom style="thin">
        <color theme="3" tint="-0.499984740745262"/>
      </bottom>
      <diagonal/>
    </border>
    <border>
      <left/>
      <right style="hair">
        <color auto="1"/>
      </right>
      <top/>
      <bottom style="thin">
        <color theme="3" tint="-0.499984740745262"/>
      </bottom>
      <diagonal/>
    </border>
    <border>
      <left style="hair">
        <color auto="1"/>
      </left>
      <right style="thin">
        <color theme="3" tint="-0.499984740745262"/>
      </right>
      <top/>
      <bottom style="thin">
        <color theme="3" tint="-0.499984740745262"/>
      </bottom>
      <diagonal/>
    </border>
    <border>
      <left style="hair">
        <color auto="1"/>
      </left>
      <right/>
      <top style="thin">
        <color theme="4" tint="-0.499984740745262"/>
      </top>
      <bottom style="thin">
        <color theme="3" tint="-0.499984740745262"/>
      </bottom>
      <diagonal/>
    </border>
    <border>
      <left style="hair">
        <color auto="1"/>
      </left>
      <right/>
      <top/>
      <bottom style="thin">
        <color theme="3" tint="-0.499984740745262"/>
      </bottom>
      <diagonal/>
    </border>
    <border>
      <left/>
      <right/>
      <top style="thin">
        <color theme="3" tint="-0.499984740745262"/>
      </top>
      <bottom style="thin">
        <color theme="3" tint="-0.499984740745262"/>
      </bottom>
      <diagonal/>
    </border>
    <border>
      <left/>
      <right/>
      <top/>
      <bottom style="thin">
        <color theme="3" tint="-0.499984740745262"/>
      </bottom>
      <diagonal/>
    </border>
    <border>
      <left style="thin">
        <color auto="1"/>
      </left>
      <right style="thin">
        <color auto="1"/>
      </right>
      <top style="thin">
        <color theme="3" tint="-0.499984740745262"/>
      </top>
      <bottom style="thin">
        <color theme="3" tint="-0.499984740745262"/>
      </bottom>
      <diagonal/>
    </border>
    <border>
      <left style="thin">
        <color auto="1"/>
      </left>
      <right style="thin">
        <color theme="3" tint="-0.499984740745262"/>
      </right>
      <top style="thin">
        <color theme="3" tint="-0.499984740745262"/>
      </top>
      <bottom style="thin">
        <color theme="3" tint="-0.499984740745262"/>
      </bottom>
      <diagonal/>
    </border>
    <border>
      <left/>
      <right/>
      <top style="thin">
        <color theme="3" tint="-0.499984740745262"/>
      </top>
      <bottom/>
      <diagonal/>
    </border>
    <border>
      <left style="thin">
        <color indexed="64"/>
      </left>
      <right style="thin">
        <color theme="4" tint="-0.499984740745262"/>
      </right>
      <top style="thin">
        <color indexed="64"/>
      </top>
      <bottom style="thin">
        <color indexed="64"/>
      </bottom>
      <diagonal/>
    </border>
    <border>
      <left style="thin">
        <color indexed="64"/>
      </left>
      <right/>
      <top style="thin">
        <color indexed="64"/>
      </top>
      <bottom/>
      <diagonal/>
    </border>
    <border>
      <left style="thin">
        <color theme="3" tint="-0.499984740745262"/>
      </left>
      <right/>
      <top style="thin">
        <color theme="3" tint="-0.499984740745262"/>
      </top>
      <bottom style="thin">
        <color theme="3" tint="-0.499984740745262"/>
      </bottom>
      <diagonal/>
    </border>
  </borders>
  <cellStyleXfs count="7231">
    <xf numFmtId="0" fontId="0" fillId="0" borderId="0"/>
    <xf numFmtId="44"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4" fillId="0" borderId="0"/>
    <xf numFmtId="0" fontId="23" fillId="0" borderId="0"/>
    <xf numFmtId="0" fontId="22" fillId="0" borderId="0"/>
    <xf numFmtId="43" fontId="22" fillId="0" borderId="0" applyFont="0" applyFill="0" applyBorder="0" applyAlignment="0" applyProtection="0"/>
    <xf numFmtId="9"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4" fillId="0" borderId="0"/>
    <xf numFmtId="43" fontId="21" fillId="0" borderId="0" applyFont="0" applyFill="0" applyBorder="0" applyAlignment="0" applyProtection="0"/>
    <xf numFmtId="0" fontId="32" fillId="0" borderId="0"/>
    <xf numFmtId="9" fontId="31"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9" fontId="21"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43" fontId="2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4" fillId="0" borderId="0"/>
    <xf numFmtId="43" fontId="20"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7" fillId="0" borderId="3" applyNumberFormat="0">
      <alignment horizontal="left" vertical="center" wrapText="1"/>
    </xf>
    <xf numFmtId="0" fontId="24" fillId="0" borderId="0"/>
    <xf numFmtId="9" fontId="24" fillId="0" borderId="0" applyFont="0" applyFill="0" applyBorder="0" applyAlignment="0" applyProtection="0"/>
    <xf numFmtId="9" fontId="20" fillId="0" borderId="0" applyFont="0" applyFill="0" applyBorder="0" applyAlignment="0" applyProtection="0"/>
    <xf numFmtId="44" fontId="24"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3"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0" fontId="33" fillId="0" borderId="0"/>
    <xf numFmtId="43" fontId="24" fillId="0" borderId="0" applyFont="0" applyFill="0" applyBorder="0" applyAlignment="0" applyProtection="0"/>
    <xf numFmtId="9" fontId="24" fillId="0" borderId="0" applyFont="0" applyFill="0" applyBorder="0" applyAlignment="0" applyProtection="0"/>
    <xf numFmtId="0" fontId="15"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24" fillId="0" borderId="0"/>
    <xf numFmtId="177" fontId="34" fillId="0" borderId="5">
      <alignment vertical="center"/>
      <protection locked="0"/>
    </xf>
    <xf numFmtId="9" fontId="24" fillId="0" borderId="0" applyFont="0" applyFill="0" applyBorder="0" applyAlignment="0" applyProtection="0"/>
    <xf numFmtId="9" fontId="24" fillId="0" borderId="0" applyFont="0" applyFill="0" applyBorder="0" applyAlignment="0" applyProtection="0"/>
    <xf numFmtId="0" fontId="28" fillId="18" borderId="3">
      <alignment horizontal="left" vertical="center" wrapText="1"/>
    </xf>
    <xf numFmtId="44" fontId="24" fillId="0" borderId="0" applyFont="0" applyFill="0" applyBorder="0" applyAlignment="0" applyProtection="0"/>
    <xf numFmtId="43" fontId="24" fillId="0" borderId="0" applyFont="0" applyFill="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6" fillId="28"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28"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5" borderId="0" applyNumberFormat="0" applyBorder="0" applyAlignment="0" applyProtection="0"/>
    <xf numFmtId="0" fontId="37" fillId="0" borderId="0" applyNumberFormat="0" applyFill="0" applyBorder="0" applyAlignment="0" applyProtection="0"/>
    <xf numFmtId="0" fontId="38" fillId="20" borderId="0" applyNumberFormat="0" applyBorder="0" applyAlignment="0" applyProtection="0"/>
    <xf numFmtId="0" fontId="39" fillId="36" borderId="6" applyNumberFormat="0" applyAlignment="0" applyProtection="0"/>
    <xf numFmtId="0" fontId="39" fillId="36" borderId="6" applyNumberFormat="0" applyAlignment="0" applyProtection="0"/>
    <xf numFmtId="0" fontId="40" fillId="0" borderId="7" applyNumberFormat="0" applyFill="0" applyAlignment="0" applyProtection="0"/>
    <xf numFmtId="0" fontId="41" fillId="37" borderId="8" applyNumberFormat="0" applyAlignment="0" applyProtection="0"/>
    <xf numFmtId="0" fontId="24" fillId="38" borderId="9" applyNumberFormat="0" applyFont="0" applyAlignment="0" applyProtection="0"/>
    <xf numFmtId="0" fontId="14" fillId="17" borderId="4" applyNumberFormat="0" applyFont="0" applyAlignment="0" applyProtection="0"/>
    <xf numFmtId="0" fontId="42" fillId="23" borderId="6" applyNumberFormat="0" applyAlignment="0" applyProtection="0"/>
    <xf numFmtId="178" fontId="24" fillId="0" borderId="0" applyFont="0" applyFill="0" applyBorder="0" applyAlignment="0" applyProtection="0"/>
    <xf numFmtId="179" fontId="24" fillId="0" borderId="0" applyFont="0" applyFill="0" applyBorder="0" applyAlignment="0" applyProtection="0"/>
    <xf numFmtId="0" fontId="43" fillId="0" borderId="0" applyNumberFormat="0" applyFill="0" applyBorder="0" applyAlignment="0" applyProtection="0"/>
    <xf numFmtId="0" fontId="44" fillId="18" borderId="0" applyNumberFormat="0" applyBorder="0" applyAlignment="0" applyProtection="0"/>
    <xf numFmtId="0" fontId="45" fillId="0" borderId="10" applyNumberFormat="0" applyFill="0" applyAlignment="0" applyProtection="0"/>
    <xf numFmtId="0" fontId="46" fillId="0" borderId="11" applyNumberFormat="0" applyFill="0" applyAlignment="0" applyProtection="0"/>
    <xf numFmtId="0" fontId="47" fillId="0" borderId="12" applyNumberFormat="0" applyFill="0" applyAlignment="0" applyProtection="0"/>
    <xf numFmtId="0" fontId="47" fillId="0" borderId="0" applyNumberFormat="0" applyFill="0" applyBorder="0" applyAlignment="0" applyProtection="0"/>
    <xf numFmtId="0" fontId="42" fillId="23" borderId="6" applyNumberFormat="0" applyAlignment="0" applyProtection="0"/>
    <xf numFmtId="0" fontId="38" fillId="20" borderId="0" applyNumberFormat="0" applyBorder="0" applyAlignment="0" applyProtection="0"/>
    <xf numFmtId="0" fontId="40" fillId="0" borderId="7" applyNumberFormat="0" applyFill="0" applyAlignment="0" applyProtection="0"/>
    <xf numFmtId="43" fontId="2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24" fillId="0" borderId="0" applyFont="0" applyFill="0" applyBorder="0" applyAlignment="0" applyProtection="0"/>
    <xf numFmtId="180" fontId="24" fillId="0" borderId="0" applyFont="0" applyFill="0" applyBorder="0" applyAlignment="0" applyProtection="0"/>
    <xf numFmtId="44" fontId="24" fillId="0" borderId="0" applyFont="0" applyFill="0" applyBorder="0" applyAlignment="0" applyProtection="0"/>
    <xf numFmtId="0" fontId="48" fillId="39" borderId="0" applyNumberFormat="0" applyBorder="0" applyAlignment="0" applyProtection="0"/>
    <xf numFmtId="0" fontId="48" fillId="39" borderId="0" applyNumberFormat="0" applyBorder="0" applyAlignment="0" applyProtection="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50" fillId="38" borderId="9" applyNumberFormat="0" applyFont="0" applyAlignment="0" applyProtection="0"/>
    <xf numFmtId="0" fontId="51" fillId="36" borderId="13"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0" fontId="52" fillId="0" borderId="0"/>
    <xf numFmtId="0" fontId="44" fillId="18" borderId="0" applyNumberFormat="0" applyBorder="0" applyAlignment="0" applyProtection="0"/>
    <xf numFmtId="0" fontId="51" fillId="36" borderId="13" applyNumberFormat="0" applyAlignment="0" applyProtection="0"/>
    <xf numFmtId="0" fontId="4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0" borderId="10" applyNumberFormat="0" applyFill="0" applyAlignment="0" applyProtection="0"/>
    <xf numFmtId="0" fontId="46" fillId="0" borderId="11" applyNumberFormat="0" applyFill="0" applyAlignment="0" applyProtection="0"/>
    <xf numFmtId="0" fontId="47" fillId="0" borderId="12" applyNumberFormat="0" applyFill="0" applyAlignment="0" applyProtection="0"/>
    <xf numFmtId="0" fontId="47" fillId="0" borderId="0" applyNumberFormat="0" applyFill="0" applyBorder="0" applyAlignment="0" applyProtection="0"/>
    <xf numFmtId="0" fontId="54" fillId="0" borderId="14" applyNumberFormat="0" applyFill="0" applyAlignment="0" applyProtection="0"/>
    <xf numFmtId="0" fontId="41" fillId="37" borderId="8" applyNumberFormat="0" applyAlignment="0" applyProtection="0"/>
    <xf numFmtId="0" fontId="37" fillId="0" borderId="0" applyNumberForma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3" fillId="17" borderId="4" applyNumberFormat="0" applyFon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189" fontId="74" fillId="0" borderId="0" applyBorder="0" applyProtection="0"/>
    <xf numFmtId="9" fontId="12" fillId="0" borderId="0" applyFont="0" applyFill="0" applyBorder="0" applyAlignment="0" applyProtection="0"/>
    <xf numFmtId="0" fontId="74" fillId="0" borderId="0"/>
    <xf numFmtId="0" fontId="11" fillId="17" borderId="4" applyNumberFormat="0" applyFon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0" fontId="10" fillId="17" borderId="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0" fontId="9" fillId="0" borderId="0"/>
    <xf numFmtId="43" fontId="24" fillId="0" borderId="0" applyFont="0" applyFill="0" applyBorder="0" applyAlignment="0" applyProtection="0"/>
    <xf numFmtId="9" fontId="24"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32"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180" fontId="85" fillId="44" borderId="3" applyNumberFormat="0">
      <alignment horizontal="center" vertical="center" wrapText="1"/>
    </xf>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0" fontId="24"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4" fontId="9" fillId="0" borderId="0" applyFont="0" applyFill="0" applyBorder="0" applyAlignment="0" applyProtection="0"/>
    <xf numFmtId="0" fontId="24" fillId="0" borderId="0"/>
    <xf numFmtId="0" fontId="86" fillId="0" borderId="3" applyNumberFormat="0">
      <alignment horizontal="left" vertical="center" wrapText="1"/>
    </xf>
    <xf numFmtId="0" fontId="9" fillId="17" borderId="4" applyNumberFormat="0" applyFont="0" applyAlignment="0" applyProtection="0"/>
    <xf numFmtId="216" fontId="34" fillId="36" borderId="3">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44" fontId="9" fillId="0" borderId="0" applyFont="0" applyFill="0" applyBorder="0" applyAlignment="0" applyProtection="0"/>
    <xf numFmtId="0" fontId="9" fillId="17" borderId="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0" fontId="9" fillId="17" borderId="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17" borderId="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9" fontId="31"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4"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24"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7" borderId="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9" fillId="0" borderId="0" applyFont="0" applyFill="0" applyBorder="0" applyAlignment="0" applyProtection="0"/>
    <xf numFmtId="0" fontId="24" fillId="0" borderId="0"/>
    <xf numFmtId="179" fontId="24" fillId="0" borderId="0" applyFont="0" applyFill="0" applyBorder="0" applyAlignment="0" applyProtection="0"/>
    <xf numFmtId="0" fontId="77" fillId="0" borderId="0" applyNumberFormat="0" applyFill="0" applyBorder="0" applyAlignment="0" applyProtection="0">
      <alignment vertical="top"/>
      <protection locked="0"/>
    </xf>
    <xf numFmtId="43" fontId="24" fillId="0" borderId="0" applyFont="0" applyFill="0" applyBorder="0" applyAlignment="0" applyProtection="0"/>
    <xf numFmtId="0" fontId="9" fillId="0" borderId="0"/>
    <xf numFmtId="9" fontId="9" fillId="0" borderId="0" applyFont="0" applyFill="0" applyBorder="0" applyAlignment="0" applyProtection="0"/>
    <xf numFmtId="0" fontId="32" fillId="0" borderId="0"/>
    <xf numFmtId="0" fontId="34" fillId="0" borderId="0"/>
    <xf numFmtId="205" fontId="78" fillId="0" borderId="17"/>
    <xf numFmtId="0" fontId="32" fillId="0" borderId="0"/>
    <xf numFmtId="0" fontId="34" fillId="38" borderId="9" applyNumberFormat="0" applyFont="0" applyAlignment="0" applyProtection="0"/>
    <xf numFmtId="195" fontId="32" fillId="0" borderId="0"/>
    <xf numFmtId="195" fontId="79" fillId="0" borderId="0"/>
    <xf numFmtId="195" fontId="32" fillId="0" borderId="0"/>
    <xf numFmtId="207" fontId="24" fillId="0" borderId="0" applyFont="0" applyFill="0" applyBorder="0" applyAlignment="0" applyProtection="0"/>
    <xf numFmtId="204" fontId="32" fillId="0" borderId="0" applyFill="0" applyBorder="0" applyProtection="0"/>
    <xf numFmtId="206" fontId="32" fillId="0" borderId="0" applyFill="0" applyBorder="0" applyProtection="0"/>
    <xf numFmtId="1" fontId="32" fillId="0" borderId="0"/>
    <xf numFmtId="206" fontId="32" fillId="0" borderId="0" applyFill="0" applyBorder="0" applyProtection="0"/>
    <xf numFmtId="201" fontId="32" fillId="0" borderId="0" applyFill="0" applyBorder="0" applyProtection="0"/>
    <xf numFmtId="49" fontId="32" fillId="0" borderId="0">
      <alignment horizontal="center" vertical="justify" textRotation="255"/>
    </xf>
    <xf numFmtId="209" fontId="32" fillId="0" borderId="0"/>
    <xf numFmtId="180" fontId="32" fillId="0" borderId="0"/>
    <xf numFmtId="194" fontId="79" fillId="0" borderId="18"/>
    <xf numFmtId="43"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0" fontId="24" fillId="0" borderId="0" applyFont="0" applyFill="0" applyBorder="0" applyAlignment="0" applyProtection="0"/>
    <xf numFmtId="43" fontId="81" fillId="0" borderId="0" applyFont="0" applyFill="0" applyBorder="0" applyAlignment="0" applyProtection="0"/>
    <xf numFmtId="43" fontId="9"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4" fontId="81" fillId="0" borderId="0" applyFont="0" applyFill="0" applyBorder="0" applyAlignment="0" applyProtection="0"/>
    <xf numFmtId="44" fontId="9" fillId="0" borderId="0" applyFont="0" applyFill="0" applyBorder="0" applyAlignment="0" applyProtection="0"/>
    <xf numFmtId="195" fontId="32" fillId="0" borderId="0" applyBorder="0"/>
    <xf numFmtId="208" fontId="24" fillId="0" borderId="0" applyFont="0" applyFill="0" applyBorder="0" applyProtection="0">
      <alignment horizontal="center"/>
    </xf>
    <xf numFmtId="0" fontId="24" fillId="0" borderId="0"/>
    <xf numFmtId="200" fontId="32" fillId="0" borderId="0"/>
    <xf numFmtId="0" fontId="82" fillId="0" borderId="0"/>
    <xf numFmtId="0" fontId="80" fillId="0" borderId="0"/>
    <xf numFmtId="0" fontId="81" fillId="0" borderId="0"/>
    <xf numFmtId="0" fontId="81" fillId="0" borderId="0"/>
    <xf numFmtId="0" fontId="80" fillId="0" borderId="0"/>
    <xf numFmtId="0" fontId="83" fillId="0" borderId="0"/>
    <xf numFmtId="0" fontId="83" fillId="0" borderId="0"/>
    <xf numFmtId="0" fontId="80" fillId="0" borderId="0"/>
    <xf numFmtId="0" fontId="9" fillId="0" borderId="0"/>
    <xf numFmtId="0" fontId="80" fillId="0" borderId="0"/>
    <xf numFmtId="202" fontId="32" fillId="0" borderId="0" applyFill="0" applyBorder="0" applyProtection="0">
      <alignment horizontal="centerContinuous"/>
    </xf>
    <xf numFmtId="0" fontId="80" fillId="0" borderId="0"/>
    <xf numFmtId="199" fontId="32" fillId="0" borderId="0">
      <alignment horizontal="centerContinuous"/>
    </xf>
    <xf numFmtId="10" fontId="32" fillId="0" borderId="0" applyFill="0" applyBorder="0" applyProtection="0"/>
    <xf numFmtId="196" fontId="32" fillId="0" borderId="0" applyFill="0" applyBorder="0" applyProtection="0"/>
    <xf numFmtId="197" fontId="32" fillId="0" borderId="0" applyFill="0" applyBorder="0" applyProtection="0"/>
    <xf numFmtId="9" fontId="81" fillId="0" borderId="0" applyFont="0" applyFill="0" applyBorder="0" applyAlignment="0" applyProtection="0"/>
    <xf numFmtId="9" fontId="80" fillId="0" borderId="0" applyFont="0" applyFill="0" applyBorder="0" applyAlignment="0" applyProtection="0"/>
    <xf numFmtId="9" fontId="24" fillId="0" borderId="0" applyFont="0" applyFill="0" applyBorder="0" applyAlignment="0" applyProtection="0"/>
    <xf numFmtId="196" fontId="32" fillId="0" borderId="0" applyFont="0" applyFill="0" applyBorder="0" applyAlignment="0" applyProtection="0"/>
    <xf numFmtId="198" fontId="79" fillId="36" borderId="2" applyFont="0" applyFill="0" applyBorder="0" applyAlignment="0" applyProtection="0"/>
    <xf numFmtId="213" fontId="76" fillId="0" borderId="2">
      <alignment horizontal="center" vertical="center"/>
      <protection locked="0"/>
    </xf>
    <xf numFmtId="0" fontId="44" fillId="18" borderId="0" applyNumberFormat="0" applyBorder="0" applyAlignment="0" applyProtection="0"/>
    <xf numFmtId="0" fontId="75" fillId="42" borderId="0" applyNumberFormat="0" applyBorder="0" applyAlignment="0" applyProtection="0"/>
    <xf numFmtId="212" fontId="79" fillId="0" borderId="0"/>
    <xf numFmtId="203" fontId="32" fillId="0" borderId="0"/>
    <xf numFmtId="49" fontId="32" fillId="0" borderId="0"/>
    <xf numFmtId="3" fontId="32" fillId="0" borderId="0"/>
    <xf numFmtId="211" fontId="32" fillId="0" borderId="0" applyFill="0" applyBorder="0">
      <alignment horizontal="centerContinuous"/>
    </xf>
    <xf numFmtId="210" fontId="32" fillId="0" borderId="0"/>
    <xf numFmtId="9" fontId="9" fillId="0" borderId="0" applyFont="0" applyFill="0" applyBorder="0" applyAlignment="0" applyProtection="0"/>
    <xf numFmtId="43" fontId="24"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35" fillId="0" borderId="0" applyFont="0" applyFill="0" applyBorder="0" applyAlignment="0" applyProtection="0"/>
    <xf numFmtId="9" fontId="35" fillId="0" borderId="0" applyFont="0" applyFill="0" applyBorder="0" applyAlignment="0" applyProtection="0"/>
    <xf numFmtId="43" fontId="24"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24" fillId="0" borderId="0"/>
    <xf numFmtId="177" fontId="34" fillId="0" borderId="5">
      <alignment vertical="center"/>
      <protection locked="0"/>
    </xf>
    <xf numFmtId="9" fontId="24" fillId="0" borderId="0" applyFont="0" applyFill="0" applyBorder="0" applyAlignment="0" applyProtection="0"/>
    <xf numFmtId="43" fontId="24" fillId="0" borderId="0" applyFont="0" applyFill="0" applyBorder="0" applyAlignment="0" applyProtection="0"/>
    <xf numFmtId="0" fontId="24" fillId="38" borderId="9" applyNumberFormat="0" applyFont="0" applyAlignment="0" applyProtection="0"/>
    <xf numFmtId="178" fontId="24"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0" fontId="24" fillId="0" borderId="0" applyFont="0" applyFill="0" applyBorder="0" applyAlignment="0" applyProtection="0"/>
    <xf numFmtId="180" fontId="24" fillId="0" borderId="0" applyFont="0" applyFill="0" applyBorder="0" applyAlignment="0" applyProtection="0"/>
    <xf numFmtId="44" fontId="2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0" fontId="44" fillId="18" borderId="0" applyNumberFormat="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89" fontId="74" fillId="0" borderId="0" applyBorder="0" applyProtection="0"/>
    <xf numFmtId="0" fontId="74" fillId="0" borderId="0"/>
    <xf numFmtId="0" fontId="9" fillId="0" borderId="0"/>
    <xf numFmtId="0" fontId="9" fillId="0" borderId="0"/>
    <xf numFmtId="0" fontId="25" fillId="0" borderId="3" applyNumberFormat="0">
      <alignment horizontal="left" vertical="center" wrapText="1"/>
    </xf>
    <xf numFmtId="0" fontId="84" fillId="43" borderId="3" applyNumberFormat="0">
      <alignment horizontal="center" vertical="center" wrapText="1"/>
    </xf>
    <xf numFmtId="217" fontId="34" fillId="0" borderId="3">
      <alignment vertical="center"/>
    </xf>
    <xf numFmtId="9" fontId="24" fillId="0" borderId="0" applyFont="0" applyFill="0" applyBorder="0" applyAlignment="0" applyProtection="0"/>
    <xf numFmtId="216" fontId="34" fillId="0" borderId="3">
      <alignment vertical="center"/>
    </xf>
    <xf numFmtId="9"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215" fontId="34" fillId="0" borderId="3">
      <alignment vertical="center"/>
    </xf>
    <xf numFmtId="0" fontId="24" fillId="0" borderId="0"/>
    <xf numFmtId="0" fontId="26" fillId="0" borderId="0"/>
    <xf numFmtId="215" fontId="34" fillId="36" borderId="3">
      <alignment vertical="center"/>
    </xf>
    <xf numFmtId="0" fontId="24" fillId="0" borderId="0"/>
    <xf numFmtId="0" fontId="28" fillId="2" borderId="2">
      <alignment horizontal="left" vertical="center" wrapText="1"/>
    </xf>
    <xf numFmtId="43" fontId="24" fillId="0" borderId="0" applyFont="0" applyFill="0" applyBorder="0" applyAlignment="0" applyProtection="0"/>
    <xf numFmtId="9" fontId="26" fillId="0" borderId="0" applyFont="0" applyFill="0" applyBorder="0" applyAlignment="0" applyProtection="0"/>
    <xf numFmtId="0" fontId="25" fillId="0" borderId="16" applyNumberFormat="0">
      <alignment horizontal="left" vertical="center" wrapText="1"/>
    </xf>
    <xf numFmtId="217" fontId="34" fillId="36" borderId="3">
      <alignment vertical="center"/>
    </xf>
    <xf numFmtId="43" fontId="9" fillId="0" borderId="0" applyFont="0" applyFill="0" applyBorder="0" applyAlignment="0" applyProtection="0"/>
    <xf numFmtId="43" fontId="26" fillId="0" borderId="0" applyFont="0" applyFill="0" applyBorder="0" applyAlignment="0" applyProtection="0"/>
    <xf numFmtId="215" fontId="76" fillId="18" borderId="3">
      <alignment vertical="center"/>
    </xf>
    <xf numFmtId="0" fontId="8" fillId="0" borderId="0"/>
    <xf numFmtId="44" fontId="8" fillId="0" borderId="0" applyFont="0" applyFill="0" applyBorder="0" applyAlignment="0" applyProtection="0"/>
    <xf numFmtId="9" fontId="8"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180" fontId="24" fillId="0" borderId="0" applyFont="0" applyFill="0" applyBorder="0" applyAlignment="0" applyProtection="0"/>
    <xf numFmtId="0" fontId="7"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5" fillId="0" borderId="0"/>
    <xf numFmtId="44" fontId="99"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17" borderId="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2" fillId="23" borderId="32" applyNumberFormat="0" applyAlignment="0" applyProtection="0"/>
    <xf numFmtId="44" fontId="4" fillId="0" borderId="0" applyFont="0" applyFill="0" applyBorder="0" applyAlignment="0" applyProtection="0"/>
    <xf numFmtId="0" fontId="4" fillId="0" borderId="0"/>
    <xf numFmtId="198" fontId="79" fillId="36" borderId="19" applyFont="0" applyFill="0" applyBorder="0" applyAlignment="0" applyProtection="0"/>
    <xf numFmtId="213" fontId="76" fillId="0" borderId="19">
      <alignment horizontal="center" vertical="center"/>
      <protection locked="0"/>
    </xf>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51" fillId="36" borderId="44" applyNumberFormat="0" applyAlignment="0" applyProtection="0"/>
    <xf numFmtId="0" fontId="28" fillId="2" borderId="19">
      <alignment horizontal="left" vertical="center" wrapText="1"/>
    </xf>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50" fillId="38" borderId="33" applyNumberFormat="0" applyFont="0" applyAlignment="0" applyProtection="0"/>
    <xf numFmtId="0" fontId="42" fillId="23" borderId="42" applyNumberFormat="0" applyAlignment="0" applyProtection="0"/>
    <xf numFmtId="0" fontId="24" fillId="38" borderId="43" applyNumberFormat="0" applyFont="0" applyAlignment="0" applyProtection="0"/>
    <xf numFmtId="0" fontId="24" fillId="38" borderId="38" applyNumberFormat="0" applyFont="0" applyAlignment="0" applyProtection="0"/>
    <xf numFmtId="0" fontId="39" fillId="36" borderId="37" applyNumberFormat="0" applyAlignment="0" applyProtection="0"/>
    <xf numFmtId="0" fontId="51" fillId="36" borderId="34" applyNumberFormat="0" applyAlignment="0" applyProtection="0"/>
    <xf numFmtId="0" fontId="51" fillId="36" borderId="44" applyNumberFormat="0" applyAlignment="0" applyProtection="0"/>
    <xf numFmtId="0" fontId="28" fillId="2" borderId="36">
      <alignment horizontal="left" vertical="center" wrapText="1"/>
    </xf>
    <xf numFmtId="0" fontId="51" fillId="36" borderId="34" applyNumberFormat="0" applyAlignment="0" applyProtection="0"/>
    <xf numFmtId="0" fontId="39" fillId="36" borderId="42" applyNumberFormat="0" applyAlignment="0" applyProtection="0"/>
    <xf numFmtId="0" fontId="42" fillId="23" borderId="42" applyNumberFormat="0" applyAlignment="0" applyProtection="0"/>
    <xf numFmtId="0" fontId="50" fillId="38" borderId="38" applyNumberFormat="0" applyFont="0" applyAlignment="0" applyProtection="0"/>
    <xf numFmtId="0" fontId="24" fillId="38" borderId="38" applyNumberFormat="0" applyFont="0" applyAlignment="0" applyProtection="0"/>
    <xf numFmtId="0" fontId="39" fillId="36" borderId="32" applyNumberFormat="0" applyAlignment="0" applyProtection="0"/>
    <xf numFmtId="0" fontId="24" fillId="38" borderId="33" applyNumberFormat="0" applyFont="0" applyAlignment="0" applyProtection="0"/>
    <xf numFmtId="0" fontId="39" fillId="36" borderId="37" applyNumberFormat="0" applyAlignment="0" applyProtection="0"/>
    <xf numFmtId="0" fontId="42" fillId="23" borderId="32" applyNumberFormat="0" applyAlignment="0" applyProtection="0"/>
    <xf numFmtId="213" fontId="76" fillId="0" borderId="36">
      <alignment horizontal="center" vertical="center"/>
      <protection locked="0"/>
    </xf>
    <xf numFmtId="0" fontId="34" fillId="38" borderId="33" applyNumberFormat="0" applyFont="0" applyAlignment="0" applyProtection="0"/>
    <xf numFmtId="0" fontId="54" fillId="0" borderId="45" applyNumberFormat="0" applyFill="0" applyAlignment="0" applyProtection="0"/>
    <xf numFmtId="198" fontId="79" fillId="36" borderId="36" applyFont="0" applyFill="0" applyBorder="0" applyAlignment="0" applyProtection="0"/>
    <xf numFmtId="0" fontId="39" fillId="36" borderId="32" applyNumberFormat="0" applyAlignment="0" applyProtection="0"/>
    <xf numFmtId="0" fontId="42" fillId="23" borderId="37" applyNumberFormat="0" applyAlignment="0" applyProtection="0"/>
    <xf numFmtId="0" fontId="24" fillId="38" borderId="43" applyNumberFormat="0" applyFont="0" applyAlignment="0" applyProtection="0"/>
    <xf numFmtId="0" fontId="50" fillId="38" borderId="43" applyNumberFormat="0" applyFont="0" applyAlignment="0" applyProtection="0"/>
    <xf numFmtId="0" fontId="34" fillId="38" borderId="38" applyNumberFormat="0" applyFont="0" applyAlignment="0" applyProtection="0"/>
    <xf numFmtId="0" fontId="54" fillId="0" borderId="40" applyNumberFormat="0" applyFill="0" applyAlignment="0" applyProtection="0"/>
    <xf numFmtId="0" fontId="54" fillId="0" borderId="35" applyNumberFormat="0" applyFill="0" applyAlignment="0" applyProtection="0"/>
    <xf numFmtId="0" fontId="42" fillId="23" borderId="37" applyNumberFormat="0" applyAlignment="0" applyProtection="0"/>
    <xf numFmtId="0" fontId="51" fillId="36" borderId="39" applyNumberFormat="0" applyAlignment="0" applyProtection="0"/>
    <xf numFmtId="0" fontId="51" fillId="36" borderId="39" applyNumberFormat="0" applyAlignment="0" applyProtection="0"/>
    <xf numFmtId="0" fontId="39" fillId="36" borderId="42" applyNumberFormat="0" applyAlignment="0" applyProtection="0"/>
    <xf numFmtId="0" fontId="24" fillId="38" borderId="33" applyNumberFormat="0" applyFont="0" applyAlignment="0" applyProtection="0"/>
    <xf numFmtId="0" fontId="34" fillId="38" borderId="43" applyNumberFormat="0" applyFont="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8" fillId="2" borderId="59">
      <alignment horizontal="left" vertical="center" wrapText="1"/>
    </xf>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51" fillId="36" borderId="57" applyNumberFormat="0" applyAlignment="0" applyProtection="0"/>
    <xf numFmtId="0" fontId="50" fillId="38" borderId="61" applyNumberFormat="0" applyFont="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54" fillId="0" borderId="63" applyNumberFormat="0" applyFill="0" applyAlignment="0" applyProtection="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17" borderId="4"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198" fontId="79" fillId="36" borderId="41" applyFont="0" applyFill="0" applyBorder="0" applyAlignment="0" applyProtection="0"/>
    <xf numFmtId="213" fontId="76" fillId="0" borderId="41">
      <alignment horizontal="center" vertical="center"/>
      <protection locked="0"/>
    </xf>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4" fillId="38" borderId="6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4" fillId="38" borderId="56" applyNumberFormat="0" applyFont="0" applyAlignment="0" applyProtection="0"/>
    <xf numFmtId="0" fontId="28" fillId="2" borderId="41">
      <alignment horizontal="left" vertical="center" wrapText="1"/>
    </xf>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24" fillId="38" borderId="51" applyNumberFormat="0" applyFont="0" applyAlignment="0" applyProtection="0"/>
    <xf numFmtId="0" fontId="24" fillId="38" borderId="47" applyNumberFormat="0" applyFont="0" applyAlignment="0" applyProtection="0"/>
    <xf numFmtId="0" fontId="39" fillId="36" borderId="46" applyNumberFormat="0" applyAlignment="0" applyProtection="0"/>
    <xf numFmtId="198" fontId="79" fillId="36" borderId="59" applyFont="0" applyFill="0" applyBorder="0" applyAlignment="0" applyProtection="0"/>
    <xf numFmtId="0" fontId="51" fillId="36" borderId="52" applyNumberFormat="0" applyAlignment="0" applyProtection="0"/>
    <xf numFmtId="0" fontId="34" fillId="38" borderId="47" applyNumberFormat="0" applyFont="0" applyAlignment="0" applyProtection="0"/>
    <xf numFmtId="0" fontId="54" fillId="0" borderId="49" applyNumberFormat="0" applyFill="0" applyAlignment="0" applyProtection="0"/>
    <xf numFmtId="0" fontId="51" fillId="36" borderId="48" applyNumberFormat="0" applyAlignment="0" applyProtection="0"/>
    <xf numFmtId="0" fontId="39" fillId="36" borderId="55" applyNumberFormat="0" applyAlignment="0" applyProtection="0"/>
    <xf numFmtId="0" fontId="42" fillId="23" borderId="50" applyNumberFormat="0" applyAlignment="0" applyProtection="0"/>
    <xf numFmtId="0" fontId="34" fillId="38" borderId="51" applyNumberFormat="0" applyFont="0" applyAlignment="0" applyProtection="0"/>
    <xf numFmtId="0" fontId="24" fillId="38" borderId="61" applyNumberFormat="0" applyFont="0" applyAlignment="0" applyProtection="0"/>
    <xf numFmtId="0" fontId="51" fillId="36" borderId="62" applyNumberFormat="0" applyAlignment="0" applyProtection="0"/>
    <xf numFmtId="213" fontId="76" fillId="0" borderId="59">
      <alignment horizontal="center" vertical="center"/>
      <protection locked="0"/>
    </xf>
    <xf numFmtId="0" fontId="50" fillId="38" borderId="47" applyNumberFormat="0" applyFont="0" applyAlignment="0" applyProtection="0"/>
    <xf numFmtId="0" fontId="50" fillId="38" borderId="51" applyNumberFormat="0" applyFont="0" applyAlignment="0" applyProtection="0"/>
    <xf numFmtId="0" fontId="42" fillId="23" borderId="55" applyNumberFormat="0" applyAlignment="0" applyProtection="0"/>
    <xf numFmtId="0" fontId="54" fillId="0" borderId="53" applyNumberFormat="0" applyFill="0" applyAlignment="0" applyProtection="0"/>
    <xf numFmtId="0" fontId="39" fillId="36" borderId="50" applyNumberFormat="0" applyAlignment="0" applyProtection="0"/>
    <xf numFmtId="0" fontId="39" fillId="36" borderId="60" applyNumberFormat="0" applyAlignment="0" applyProtection="0"/>
    <xf numFmtId="213" fontId="76" fillId="0" borderId="54">
      <alignment horizontal="center" vertical="center"/>
      <protection locked="0"/>
    </xf>
    <xf numFmtId="0" fontId="51" fillId="36" borderId="48" applyNumberFormat="0" applyAlignment="0" applyProtection="0"/>
    <xf numFmtId="0" fontId="42" fillId="23" borderId="60" applyNumberFormat="0" applyAlignment="0" applyProtection="0"/>
    <xf numFmtId="198" fontId="79" fillId="36" borderId="54" applyFont="0" applyFill="0" applyBorder="0" applyAlignment="0" applyProtection="0"/>
    <xf numFmtId="0" fontId="39" fillId="36" borderId="50" applyNumberFormat="0" applyAlignment="0" applyProtection="0"/>
    <xf numFmtId="0" fontId="42" fillId="23" borderId="55" applyNumberFormat="0" applyAlignment="0" applyProtection="0"/>
    <xf numFmtId="0" fontId="24" fillId="38" borderId="47" applyNumberFormat="0" applyFont="0" applyAlignment="0" applyProtection="0"/>
    <xf numFmtId="0" fontId="34" fillId="38" borderId="56" applyNumberFormat="0" applyFont="0" applyAlignment="0" applyProtection="0"/>
    <xf numFmtId="0" fontId="24" fillId="38" borderId="56" applyNumberFormat="0" applyFont="0" applyAlignment="0" applyProtection="0"/>
    <xf numFmtId="0" fontId="24" fillId="38" borderId="61" applyNumberFormat="0" applyFont="0" applyAlignment="0" applyProtection="0"/>
    <xf numFmtId="0" fontId="54" fillId="0" borderId="58" applyNumberFormat="0" applyFill="0" applyAlignment="0" applyProtection="0"/>
    <xf numFmtId="0" fontId="42" fillId="23" borderId="46" applyNumberFormat="0" applyAlignment="0" applyProtection="0"/>
    <xf numFmtId="0" fontId="39" fillId="36" borderId="55" applyNumberFormat="0" applyAlignment="0" applyProtection="0"/>
    <xf numFmtId="0" fontId="51" fillId="36" borderId="57" applyNumberFormat="0" applyAlignment="0" applyProtection="0"/>
    <xf numFmtId="0" fontId="39" fillId="36" borderId="46" applyNumberFormat="0" applyAlignment="0" applyProtection="0"/>
    <xf numFmtId="0" fontId="42" fillId="23" borderId="50" applyNumberFormat="0" applyAlignment="0" applyProtection="0"/>
    <xf numFmtId="0" fontId="42" fillId="23" borderId="60" applyNumberFormat="0" applyAlignment="0" applyProtection="0"/>
    <xf numFmtId="0" fontId="28" fillId="2" borderId="54">
      <alignment horizontal="left" vertical="center" wrapText="1"/>
    </xf>
    <xf numFmtId="0" fontId="24" fillId="38" borderId="51" applyNumberFormat="0" applyFont="0" applyAlignment="0" applyProtection="0"/>
    <xf numFmtId="0" fontId="50" fillId="38" borderId="56" applyNumberFormat="0" applyFont="0" applyAlignment="0" applyProtection="0"/>
    <xf numFmtId="0" fontId="42" fillId="23" borderId="46" applyNumberFormat="0" applyAlignment="0" applyProtection="0"/>
    <xf numFmtId="0" fontId="51" fillId="36" borderId="52" applyNumberFormat="0" applyAlignment="0" applyProtection="0"/>
    <xf numFmtId="0" fontId="39" fillId="36" borderId="60" applyNumberFormat="0" applyAlignment="0" applyProtection="0"/>
    <xf numFmtId="0" fontId="51" fillId="36" borderId="62" applyNumberFormat="0" applyAlignment="0" applyProtection="0"/>
    <xf numFmtId="0" fontId="2" fillId="0" borderId="0"/>
    <xf numFmtId="0" fontId="90" fillId="0" borderId="0"/>
    <xf numFmtId="9" fontId="2" fillId="0" borderId="0" applyFont="0" applyFill="0" applyBorder="0" applyAlignment="0" applyProtection="0"/>
    <xf numFmtId="0" fontId="2" fillId="17" borderId="4"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17" borderId="4"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90" fillId="0" borderId="0"/>
  </cellStyleXfs>
  <cellXfs count="628">
    <xf numFmtId="0" fontId="0" fillId="0" borderId="0" xfId="0"/>
    <xf numFmtId="0" fontId="24" fillId="0" borderId="0" xfId="0" applyFont="1"/>
    <xf numFmtId="0" fontId="0" fillId="0" borderId="0" xfId="0"/>
    <xf numFmtId="0" fontId="55" fillId="8" borderId="2" xfId="455" applyFont="1" applyFill="1" applyBorder="1" applyAlignment="1">
      <alignment horizontal="center" vertical="center"/>
    </xf>
    <xf numFmtId="0" fontId="59" fillId="0" borderId="0" xfId="0" applyFont="1"/>
    <xf numFmtId="0" fontId="60" fillId="0" borderId="0" xfId="0" applyFont="1" applyAlignment="1">
      <alignment horizontal="center"/>
    </xf>
    <xf numFmtId="0" fontId="61" fillId="0" borderId="0" xfId="0" applyFont="1"/>
    <xf numFmtId="0" fontId="61" fillId="11" borderId="2" xfId="0" applyFont="1" applyFill="1" applyBorder="1" applyAlignment="1">
      <alignment horizontal="center" wrapText="1"/>
    </xf>
    <xf numFmtId="0" fontId="62" fillId="11" borderId="2" xfId="0" applyFont="1" applyFill="1" applyBorder="1" applyAlignment="1">
      <alignment horizontal="center" wrapText="1"/>
    </xf>
    <xf numFmtId="0" fontId="61" fillId="0" borderId="2" xfId="0" applyFont="1" applyBorder="1"/>
    <xf numFmtId="9" fontId="61" fillId="0" borderId="2" xfId="3" applyFont="1" applyBorder="1" applyAlignment="1">
      <alignment horizontal="center"/>
    </xf>
    <xf numFmtId="0" fontId="61" fillId="0" borderId="2" xfId="3" applyNumberFormat="1" applyFont="1" applyBorder="1" applyAlignment="1">
      <alignment horizontal="center"/>
    </xf>
    <xf numFmtId="0" fontId="61" fillId="0" borderId="2" xfId="0" applyFont="1" applyBorder="1" applyAlignment="1">
      <alignment horizontal="center"/>
    </xf>
    <xf numFmtId="0" fontId="62" fillId="0" borderId="2" xfId="0" applyFont="1" applyBorder="1" applyAlignment="1">
      <alignment horizontal="center"/>
    </xf>
    <xf numFmtId="10" fontId="61" fillId="15" borderId="2" xfId="3" applyNumberFormat="1" applyFont="1" applyFill="1" applyBorder="1" applyAlignment="1">
      <alignment horizontal="center"/>
    </xf>
    <xf numFmtId="10" fontId="61" fillId="0" borderId="2" xfId="3" applyNumberFormat="1" applyFont="1" applyBorder="1" applyAlignment="1">
      <alignment horizontal="center"/>
    </xf>
    <xf numFmtId="0" fontId="67" fillId="0" borderId="0" xfId="0" applyFont="1" applyAlignment="1">
      <alignment horizontal="center" vertical="center"/>
    </xf>
    <xf numFmtId="9" fontId="61" fillId="0" borderId="2" xfId="0" applyNumberFormat="1" applyFont="1" applyBorder="1"/>
    <xf numFmtId="9" fontId="61" fillId="0" borderId="2" xfId="0" applyNumberFormat="1" applyFont="1" applyBorder="1" applyAlignment="1">
      <alignment horizontal="center"/>
    </xf>
    <xf numFmtId="166" fontId="62" fillId="0" borderId="2" xfId="3" applyNumberFormat="1" applyFont="1" applyBorder="1" applyAlignment="1">
      <alignment horizontal="center"/>
    </xf>
    <xf numFmtId="164" fontId="62" fillId="0" borderId="2" xfId="3" applyNumberFormat="1" applyFont="1" applyBorder="1" applyAlignment="1">
      <alignment horizontal="center"/>
    </xf>
    <xf numFmtId="166" fontId="61" fillId="0" borderId="2" xfId="3" applyNumberFormat="1" applyFont="1" applyBorder="1" applyAlignment="1">
      <alignment horizontal="center"/>
    </xf>
    <xf numFmtId="10" fontId="62" fillId="0" borderId="2" xfId="3" applyNumberFormat="1" applyFont="1" applyBorder="1" applyAlignment="1">
      <alignment horizontal="center"/>
    </xf>
    <xf numFmtId="164" fontId="61" fillId="0" borderId="2" xfId="3" applyNumberFormat="1" applyFont="1" applyBorder="1" applyAlignment="1">
      <alignment horizontal="center"/>
    </xf>
    <xf numFmtId="0" fontId="61" fillId="0" borderId="2" xfId="4" applyFont="1" applyFill="1" applyBorder="1"/>
    <xf numFmtId="0" fontId="61" fillId="0" borderId="2" xfId="4" applyFont="1" applyBorder="1" applyAlignment="1">
      <alignment horizontal="center" vertical="center"/>
    </xf>
    <xf numFmtId="0" fontId="61" fillId="0" borderId="2" xfId="0" applyFont="1" applyBorder="1" applyAlignment="1">
      <alignment horizontal="center" vertical="center"/>
    </xf>
    <xf numFmtId="2" fontId="61" fillId="0" borderId="2" xfId="0" applyNumberFormat="1" applyFont="1" applyBorder="1" applyAlignment="1">
      <alignment horizontal="center" vertical="center"/>
    </xf>
    <xf numFmtId="0" fontId="65" fillId="0" borderId="0" xfId="0" applyFont="1"/>
    <xf numFmtId="0" fontId="65" fillId="3" borderId="0" xfId="4" applyFont="1" applyFill="1" applyBorder="1"/>
    <xf numFmtId="0" fontId="69" fillId="0" borderId="0" xfId="0" applyFont="1" applyFill="1" applyBorder="1"/>
    <xf numFmtId="0" fontId="58" fillId="0" borderId="0" xfId="0" applyFont="1" applyFill="1" applyBorder="1"/>
    <xf numFmtId="0" fontId="69" fillId="0" borderId="0" xfId="0" applyFont="1" applyFill="1" applyBorder="1" applyAlignment="1">
      <alignment horizontal="center"/>
    </xf>
    <xf numFmtId="165" fontId="69" fillId="0" borderId="0" xfId="0" applyNumberFormat="1" applyFont="1" applyFill="1" applyBorder="1" applyAlignment="1">
      <alignment horizontal="center"/>
    </xf>
    <xf numFmtId="1" fontId="69" fillId="0" borderId="0" xfId="0" applyNumberFormat="1" applyFont="1" applyFill="1" applyBorder="1" applyAlignment="1">
      <alignment horizontal="center"/>
    </xf>
    <xf numFmtId="2" fontId="69" fillId="0" borderId="0" xfId="0" applyNumberFormat="1" applyFont="1" applyFill="1" applyBorder="1" applyAlignment="1">
      <alignment horizontal="center"/>
    </xf>
    <xf numFmtId="10" fontId="69" fillId="0" borderId="0" xfId="3" applyNumberFormat="1" applyFont="1" applyFill="1" applyBorder="1" applyAlignment="1">
      <alignment horizontal="center"/>
    </xf>
    <xf numFmtId="0" fontId="69" fillId="0" borderId="0" xfId="0" applyFont="1"/>
    <xf numFmtId="0" fontId="69" fillId="14" borderId="0" xfId="0" applyFont="1" applyFill="1"/>
    <xf numFmtId="183" fontId="70" fillId="14" borderId="0" xfId="0" applyNumberFormat="1" applyFont="1" applyFill="1" applyAlignment="1">
      <alignment horizontal="center"/>
    </xf>
    <xf numFmtId="2" fontId="65" fillId="0" borderId="0" xfId="0" applyNumberFormat="1" applyFont="1"/>
    <xf numFmtId="0" fontId="65" fillId="3" borderId="0" xfId="0" applyFont="1" applyFill="1" applyAlignment="1">
      <alignment horizontal="left" vertical="top" wrapText="1"/>
    </xf>
    <xf numFmtId="0" fontId="71" fillId="3" borderId="0" xfId="0" applyFont="1" applyFill="1" applyAlignment="1">
      <alignment horizontal="left" vertical="top" wrapText="1"/>
    </xf>
    <xf numFmtId="0" fontId="71" fillId="3" borderId="0" xfId="0" applyFont="1" applyFill="1" applyAlignment="1">
      <alignment vertical="top" wrapText="1"/>
    </xf>
    <xf numFmtId="164" fontId="66" fillId="0" borderId="0" xfId="0" applyNumberFormat="1" applyFont="1" applyBorder="1" applyAlignment="1">
      <alignment horizontal="center" vertical="center"/>
    </xf>
    <xf numFmtId="0" fontId="65" fillId="0" borderId="0" xfId="0" applyFont="1" applyBorder="1" applyAlignment="1">
      <alignment horizontal="center" vertical="center"/>
    </xf>
    <xf numFmtId="0" fontId="65" fillId="0" borderId="0" xfId="0" applyFont="1" applyBorder="1"/>
    <xf numFmtId="1" fontId="66" fillId="0" borderId="0" xfId="3" applyNumberFormat="1" applyFont="1" applyBorder="1" applyAlignment="1">
      <alignment horizontal="center" vertical="center"/>
    </xf>
    <xf numFmtId="0" fontId="58" fillId="0" borderId="0" xfId="0" applyFont="1" applyBorder="1"/>
    <xf numFmtId="0" fontId="65" fillId="0" borderId="0" xfId="0" applyFont="1" applyFill="1" applyBorder="1"/>
    <xf numFmtId="9" fontId="61" fillId="0" borderId="0" xfId="3" applyFont="1" applyBorder="1" applyAlignment="1">
      <alignment horizontal="center"/>
    </xf>
    <xf numFmtId="0" fontId="61" fillId="0" borderId="0" xfId="0" applyFont="1" applyBorder="1" applyAlignment="1">
      <alignment horizontal="center"/>
    </xf>
    <xf numFmtId="0" fontId="62" fillId="0" borderId="0" xfId="0" applyFont="1" applyBorder="1" applyAlignment="1">
      <alignment horizontal="center"/>
    </xf>
    <xf numFmtId="10" fontId="61" fillId="15" borderId="0" xfId="3" applyNumberFormat="1" applyFont="1" applyFill="1" applyBorder="1" applyAlignment="1">
      <alignment horizontal="center"/>
    </xf>
    <xf numFmtId="10" fontId="61" fillId="0" borderId="0" xfId="3" applyNumberFormat="1" applyFont="1" applyBorder="1" applyAlignment="1">
      <alignment horizontal="center"/>
    </xf>
    <xf numFmtId="9" fontId="61" fillId="0" borderId="0" xfId="0" applyNumberFormat="1" applyFont="1" applyBorder="1"/>
    <xf numFmtId="9" fontId="61" fillId="0" borderId="0" xfId="0" applyNumberFormat="1" applyFont="1" applyBorder="1" applyAlignment="1">
      <alignment horizontal="center"/>
    </xf>
    <xf numFmtId="166" fontId="62" fillId="0" borderId="0" xfId="3" applyNumberFormat="1" applyFont="1" applyBorder="1" applyAlignment="1">
      <alignment horizontal="center"/>
    </xf>
    <xf numFmtId="164" fontId="62" fillId="0" borderId="0" xfId="3" applyNumberFormat="1" applyFont="1" applyBorder="1" applyAlignment="1">
      <alignment horizontal="center"/>
    </xf>
    <xf numFmtId="166" fontId="61" fillId="0" borderId="0" xfId="3" applyNumberFormat="1" applyFont="1" applyBorder="1" applyAlignment="1">
      <alignment horizontal="center"/>
    </xf>
    <xf numFmtId="10" fontId="62" fillId="0" borderId="0" xfId="3" applyNumberFormat="1" applyFont="1" applyBorder="1" applyAlignment="1">
      <alignment horizontal="center"/>
    </xf>
    <xf numFmtId="164" fontId="61" fillId="0" borderId="0" xfId="3" applyNumberFormat="1" applyFont="1" applyBorder="1" applyAlignment="1">
      <alignment horizontal="center"/>
    </xf>
    <xf numFmtId="0" fontId="64" fillId="0" borderId="0" xfId="0" applyFont="1" applyFill="1" applyBorder="1" applyAlignment="1">
      <alignment vertical="center"/>
    </xf>
    <xf numFmtId="1" fontId="66" fillId="0" borderId="0" xfId="3" applyNumberFormat="1" applyFont="1" applyFill="1" applyBorder="1" applyAlignment="1">
      <alignment horizontal="center" vertical="center"/>
    </xf>
    <xf numFmtId="0" fontId="65" fillId="0" borderId="15" xfId="0" applyFont="1" applyFill="1" applyBorder="1" applyAlignment="1">
      <alignment horizontal="center" vertical="top" wrapText="1"/>
    </xf>
    <xf numFmtId="3" fontId="66" fillId="0" borderId="0" xfId="0" applyNumberFormat="1" applyFont="1" applyFill="1" applyBorder="1" applyAlignment="1">
      <alignment horizontal="center"/>
    </xf>
    <xf numFmtId="171" fontId="66" fillId="0" borderId="0" xfId="0" applyNumberFormat="1" applyFont="1" applyFill="1" applyBorder="1" applyAlignment="1">
      <alignment horizontal="center"/>
    </xf>
    <xf numFmtId="181" fontId="66" fillId="0" borderId="0" xfId="0" applyNumberFormat="1" applyFont="1" applyFill="1" applyBorder="1" applyAlignment="1">
      <alignment horizontal="center"/>
    </xf>
    <xf numFmtId="0" fontId="58" fillId="0" borderId="0" xfId="0" applyFont="1" applyBorder="1" applyAlignment="1">
      <alignment horizontal="left"/>
    </xf>
    <xf numFmtId="0" fontId="58" fillId="0" borderId="0" xfId="0" applyFont="1" applyBorder="1" applyAlignment="1">
      <alignment vertical="center"/>
    </xf>
    <xf numFmtId="0" fontId="58" fillId="0" borderId="0" xfId="0" applyFont="1" applyFill="1" applyBorder="1" applyAlignment="1">
      <alignment vertical="center"/>
    </xf>
    <xf numFmtId="0" fontId="63" fillId="4" borderId="0" xfId="0" applyFont="1" applyFill="1" applyBorder="1" applyAlignment="1">
      <alignment vertical="center"/>
    </xf>
    <xf numFmtId="0" fontId="87" fillId="0" borderId="0" xfId="0" applyFont="1" applyAlignment="1">
      <alignment horizontal="right"/>
    </xf>
    <xf numFmtId="0" fontId="87" fillId="3" borderId="0" xfId="0" applyFont="1" applyFill="1" applyAlignment="1">
      <alignment horizontal="right" vertical="top" wrapText="1"/>
    </xf>
    <xf numFmtId="214" fontId="58" fillId="0" borderId="0" xfId="0" applyNumberFormat="1" applyFont="1"/>
    <xf numFmtId="0" fontId="63" fillId="0" borderId="0" xfId="0" applyFont="1" applyFill="1" applyBorder="1" applyAlignment="1">
      <alignment vertical="center"/>
    </xf>
    <xf numFmtId="0" fontId="63" fillId="0" borderId="0" xfId="0" applyFont="1" applyFill="1" applyBorder="1" applyAlignment="1">
      <alignment horizontal="center" vertical="center"/>
    </xf>
    <xf numFmtId="0" fontId="73" fillId="0" borderId="0" xfId="0" applyFont="1" applyAlignment="1"/>
    <xf numFmtId="43" fontId="58" fillId="0" borderId="0" xfId="2" applyFont="1"/>
    <xf numFmtId="219" fontId="58" fillId="0" borderId="0" xfId="0" applyNumberFormat="1" applyFont="1"/>
    <xf numFmtId="0" fontId="72" fillId="0" borderId="0" xfId="0" applyFont="1" applyAlignment="1">
      <alignment vertical="top"/>
    </xf>
    <xf numFmtId="0" fontId="72" fillId="0" borderId="0" xfId="0" applyFont="1" applyAlignment="1">
      <alignment horizontal="left" vertical="top"/>
    </xf>
    <xf numFmtId="0" fontId="0" fillId="0" borderId="0" xfId="0"/>
    <xf numFmtId="0" fontId="93" fillId="46" borderId="20" xfId="4" applyFont="1" applyFill="1" applyBorder="1" applyAlignment="1">
      <alignment horizontal="center" vertical="center" wrapText="1"/>
    </xf>
    <xf numFmtId="0" fontId="93" fillId="6" borderId="20" xfId="4" applyFont="1" applyFill="1" applyBorder="1" applyAlignment="1">
      <alignment horizontal="center" vertical="center" wrapText="1"/>
    </xf>
    <xf numFmtId="0" fontId="93" fillId="10" borderId="20" xfId="4" applyFont="1" applyFill="1" applyBorder="1" applyAlignment="1">
      <alignment horizontal="center" vertical="center" wrapText="1"/>
    </xf>
    <xf numFmtId="0" fontId="93" fillId="47" borderId="20" xfId="4" applyFont="1" applyFill="1" applyBorder="1" applyAlignment="1">
      <alignment horizontal="center" vertical="center" wrapText="1"/>
    </xf>
    <xf numFmtId="0" fontId="24" fillId="0" borderId="20" xfId="2235" applyBorder="1"/>
    <xf numFmtId="0" fontId="56" fillId="8" borderId="21" xfId="2235" applyFont="1" applyFill="1" applyBorder="1" applyAlignment="1">
      <alignment vertical="center"/>
    </xf>
    <xf numFmtId="0" fontId="90" fillId="13" borderId="0" xfId="2404" applyFont="1" applyFill="1" applyBorder="1" applyAlignment="1">
      <alignment horizontal="center" vertical="center" wrapText="1"/>
    </xf>
    <xf numFmtId="0" fontId="90" fillId="0" borderId="0" xfId="2404" applyFont="1" applyFill="1" applyBorder="1" applyAlignment="1">
      <alignment horizontal="center" vertical="center" wrapText="1"/>
    </xf>
    <xf numFmtId="181" fontId="90" fillId="0" borderId="0" xfId="2404" applyNumberFormat="1" applyFont="1" applyFill="1" applyBorder="1" applyAlignment="1">
      <alignment horizontal="center" vertical="center" wrapText="1"/>
    </xf>
    <xf numFmtId="171" fontId="90" fillId="0" borderId="0" xfId="2404" applyNumberFormat="1" applyFont="1" applyFill="1" applyBorder="1" applyAlignment="1">
      <alignment horizontal="center" vertical="center" wrapText="1"/>
    </xf>
    <xf numFmtId="10" fontId="90" fillId="0" borderId="0" xfId="2405" applyNumberFormat="1" applyFont="1" applyFill="1" applyBorder="1" applyAlignment="1">
      <alignment horizontal="center" vertical="center" wrapText="1"/>
    </xf>
    <xf numFmtId="9" fontId="90" fillId="0" borderId="0" xfId="2405" applyFont="1" applyFill="1" applyBorder="1" applyAlignment="1">
      <alignment horizontal="center" vertical="center" wrapText="1"/>
    </xf>
    <xf numFmtId="0" fontId="90" fillId="0" borderId="19" xfId="2404" applyFont="1" applyFill="1" applyBorder="1" applyAlignment="1">
      <alignment horizontal="center" vertical="center" wrapText="1"/>
    </xf>
    <xf numFmtId="2" fontId="61" fillId="0" borderId="2" xfId="3" applyNumberFormat="1" applyFont="1" applyBorder="1" applyAlignment="1">
      <alignment horizontal="center"/>
    </xf>
    <xf numFmtId="0" fontId="0" fillId="0" borderId="20" xfId="0" applyBorder="1"/>
    <xf numFmtId="0" fontId="90" fillId="48" borderId="19" xfId="2404" applyFont="1" applyFill="1" applyBorder="1" applyAlignment="1">
      <alignment horizontal="center" vertical="center" wrapText="1"/>
    </xf>
    <xf numFmtId="0" fontId="89" fillId="48" borderId="19" xfId="2404" applyFont="1" applyFill="1" applyBorder="1" applyAlignment="1">
      <alignment horizontal="center" vertical="center" wrapText="1"/>
    </xf>
    <xf numFmtId="0" fontId="65" fillId="0" borderId="0" xfId="0" applyFont="1" applyFill="1" applyBorder="1" applyAlignment="1">
      <alignment horizontal="left" vertical="center"/>
    </xf>
    <xf numFmtId="0" fontId="89" fillId="0" borderId="19" xfId="2404" applyFont="1" applyFill="1" applyBorder="1" applyAlignment="1">
      <alignment horizontal="center" vertical="center" wrapText="1"/>
    </xf>
    <xf numFmtId="0" fontId="97" fillId="4" borderId="0" xfId="2404" applyNumberFormat="1" applyFont="1" applyFill="1" applyBorder="1" applyAlignment="1">
      <alignment horizontal="center" vertical="center" wrapText="1"/>
    </xf>
    <xf numFmtId="0" fontId="96" fillId="4" borderId="19" xfId="2404" applyFont="1" applyFill="1" applyBorder="1" applyAlignment="1">
      <alignment horizontal="center" vertical="center" wrapText="1"/>
    </xf>
    <xf numFmtId="0" fontId="96" fillId="4" borderId="0" xfId="2404" applyFont="1" applyFill="1" applyBorder="1" applyAlignment="1">
      <alignment horizontal="center" vertical="center" wrapText="1"/>
    </xf>
    <xf numFmtId="0" fontId="98" fillId="7" borderId="1" xfId="2404" applyFont="1" applyFill="1" applyBorder="1" applyAlignment="1">
      <alignment horizontal="center" vertical="center" wrapText="1"/>
    </xf>
    <xf numFmtId="0" fontId="96" fillId="49" borderId="19" xfId="2404" applyFont="1" applyFill="1" applyBorder="1" applyAlignment="1">
      <alignment horizontal="center" vertical="center" wrapText="1"/>
    </xf>
    <xf numFmtId="0" fontId="97" fillId="49" borderId="19" xfId="2404" applyNumberFormat="1" applyFont="1" applyFill="1" applyBorder="1" applyAlignment="1">
      <alignment horizontal="center" vertical="center" wrapText="1"/>
    </xf>
    <xf numFmtId="0" fontId="96" fillId="49" borderId="0" xfId="2404" applyFont="1" applyFill="1" applyBorder="1" applyAlignment="1">
      <alignment horizontal="center" vertical="center" wrapText="1"/>
    </xf>
    <xf numFmtId="171" fontId="97" fillId="49" borderId="19" xfId="2404" applyNumberFormat="1" applyFont="1" applyFill="1" applyBorder="1" applyAlignment="1">
      <alignment horizontal="center" vertical="center" wrapText="1"/>
    </xf>
    <xf numFmtId="9" fontId="89" fillId="0" borderId="19" xfId="3" applyFont="1" applyFill="1" applyBorder="1" applyAlignment="1">
      <alignment horizontal="center" vertical="center" wrapText="1"/>
    </xf>
    <xf numFmtId="0" fontId="97" fillId="0" borderId="0" xfId="2404" applyNumberFormat="1" applyFont="1" applyFill="1" applyBorder="1" applyAlignment="1">
      <alignment horizontal="center" vertical="center" wrapText="1"/>
    </xf>
    <xf numFmtId="9" fontId="90" fillId="0" borderId="0" xfId="3" applyFont="1" applyFill="1" applyBorder="1" applyAlignment="1">
      <alignment horizontal="center" vertical="center" wrapText="1"/>
    </xf>
    <xf numFmtId="224" fontId="90" fillId="0" borderId="0" xfId="2404" applyNumberFormat="1" applyFont="1" applyFill="1" applyBorder="1" applyAlignment="1">
      <alignment horizontal="center" vertical="center" wrapText="1"/>
    </xf>
    <xf numFmtId="224" fontId="90" fillId="0" borderId="19" xfId="2404" applyNumberFormat="1" applyFont="1" applyFill="1" applyBorder="1" applyAlignment="1">
      <alignment horizontal="center" vertical="center" wrapText="1"/>
    </xf>
    <xf numFmtId="224" fontId="97" fillId="49" borderId="19" xfId="2404" applyNumberFormat="1" applyFont="1" applyFill="1" applyBorder="1" applyAlignment="1">
      <alignment horizontal="center" vertical="center" wrapText="1"/>
    </xf>
    <xf numFmtId="164" fontId="90" fillId="0" borderId="0" xfId="2405" applyNumberFormat="1" applyFont="1" applyFill="1" applyBorder="1" applyAlignment="1">
      <alignment horizontal="center" vertical="center" wrapText="1"/>
    </xf>
    <xf numFmtId="0" fontId="65" fillId="0" borderId="0" xfId="0" applyFont="1" applyFill="1" applyBorder="1" applyAlignment="1">
      <alignment vertical="center"/>
    </xf>
    <xf numFmtId="0" fontId="64" fillId="0" borderId="0" xfId="0" applyFont="1" applyBorder="1" applyAlignment="1">
      <alignment horizontal="center" vertical="center"/>
    </xf>
    <xf numFmtId="0" fontId="64" fillId="4" borderId="0" xfId="0" applyFont="1" applyFill="1" applyBorder="1" applyAlignment="1">
      <alignment horizontal="center" vertical="center"/>
    </xf>
    <xf numFmtId="0" fontId="64" fillId="0" borderId="0" xfId="0" applyFont="1" applyFill="1" applyBorder="1" applyAlignment="1">
      <alignment horizontal="center" vertical="center"/>
    </xf>
    <xf numFmtId="9" fontId="64" fillId="4" borderId="0" xfId="3" applyFont="1" applyFill="1" applyBorder="1" applyAlignment="1">
      <alignment horizontal="center" vertical="center"/>
    </xf>
    <xf numFmtId="0" fontId="24" fillId="0" borderId="20" xfId="2235" applyBorder="1" applyAlignment="1">
      <alignment horizontal="center"/>
    </xf>
    <xf numFmtId="225" fontId="61" fillId="0" borderId="2" xfId="2410" applyNumberFormat="1" applyFont="1" applyBorder="1" applyAlignment="1">
      <alignment horizontal="center"/>
    </xf>
    <xf numFmtId="3" fontId="64" fillId="4" borderId="0" xfId="0" applyNumberFormat="1" applyFont="1" applyFill="1" applyBorder="1" applyAlignment="1">
      <alignment horizontal="center" vertical="center"/>
    </xf>
    <xf numFmtId="0" fontId="68" fillId="0" borderId="0" xfId="0" applyFont="1" applyBorder="1" applyAlignment="1">
      <alignment vertical="center"/>
    </xf>
    <xf numFmtId="175" fontId="64" fillId="4" borderId="0" xfId="0" applyNumberFormat="1" applyFont="1" applyFill="1" applyBorder="1" applyAlignment="1">
      <alignment horizontal="center" vertical="center"/>
    </xf>
    <xf numFmtId="226" fontId="64" fillId="4" borderId="0" xfId="0" applyNumberFormat="1" applyFont="1" applyFill="1" applyBorder="1" applyAlignment="1">
      <alignment horizontal="center" vertical="center"/>
    </xf>
    <xf numFmtId="0" fontId="101" fillId="0" borderId="0" xfId="0" applyFont="1" applyBorder="1"/>
    <xf numFmtId="0" fontId="102" fillId="0" borderId="19" xfId="1017" applyFont="1" applyBorder="1" applyAlignment="1">
      <alignment vertical="center" wrapText="1"/>
    </xf>
    <xf numFmtId="0" fontId="103" fillId="0" borderId="0" xfId="0" applyFont="1"/>
    <xf numFmtId="0" fontId="98" fillId="7" borderId="1" xfId="2404" applyFont="1" applyFill="1" applyBorder="1" applyAlignment="1">
      <alignment horizontal="center" vertical="center" wrapText="1"/>
    </xf>
    <xf numFmtId="0" fontId="91" fillId="15" borderId="19" xfId="2404" applyNumberFormat="1" applyFont="1" applyFill="1" applyBorder="1" applyAlignment="1">
      <alignment horizontal="center" vertical="center" wrapText="1"/>
    </xf>
    <xf numFmtId="2" fontId="91" fillId="15" borderId="19" xfId="2404" applyNumberFormat="1" applyFont="1" applyFill="1" applyBorder="1" applyAlignment="1">
      <alignment horizontal="center" vertical="center" wrapText="1"/>
    </xf>
    <xf numFmtId="0" fontId="28" fillId="0" borderId="0" xfId="0" applyFont="1" applyAlignment="1">
      <alignment horizontal="right"/>
    </xf>
    <xf numFmtId="0" fontId="0" fillId="6" borderId="26" xfId="0" applyFill="1" applyBorder="1"/>
    <xf numFmtId="0" fontId="0" fillId="6" borderId="0" xfId="0" applyFill="1" applyBorder="1"/>
    <xf numFmtId="0" fontId="24" fillId="6" borderId="27" xfId="0" applyFont="1" applyFill="1" applyBorder="1"/>
    <xf numFmtId="0" fontId="0" fillId="9" borderId="26" xfId="0" applyFill="1" applyBorder="1"/>
    <xf numFmtId="0" fontId="0" fillId="9" borderId="0" xfId="0" applyFill="1" applyBorder="1"/>
    <xf numFmtId="0" fontId="0" fillId="12" borderId="27" xfId="0" applyFill="1" applyBorder="1"/>
    <xf numFmtId="0" fontId="0" fillId="9" borderId="22" xfId="0" applyFill="1" applyBorder="1"/>
    <xf numFmtId="0" fontId="0" fillId="9" borderId="1" xfId="0" applyFill="1" applyBorder="1"/>
    <xf numFmtId="0" fontId="0" fillId="12" borderId="28" xfId="0" applyFill="1" applyBorder="1"/>
    <xf numFmtId="0" fontId="0" fillId="51" borderId="26" xfId="0" applyFill="1" applyBorder="1"/>
    <xf numFmtId="0" fontId="0" fillId="51" borderId="0" xfId="0" applyFill="1" applyBorder="1"/>
    <xf numFmtId="0" fontId="24" fillId="51" borderId="27" xfId="0" applyFont="1" applyFill="1" applyBorder="1"/>
    <xf numFmtId="0" fontId="0" fillId="48" borderId="27" xfId="0" applyFill="1" applyBorder="1"/>
    <xf numFmtId="0" fontId="0" fillId="48" borderId="28" xfId="0" applyFill="1" applyBorder="1"/>
    <xf numFmtId="0" fontId="24" fillId="6" borderId="26" xfId="0" applyFont="1" applyFill="1" applyBorder="1"/>
    <xf numFmtId="0" fontId="24" fillId="6" borderId="0" xfId="0" applyFont="1" applyFill="1" applyBorder="1"/>
    <xf numFmtId="0" fontId="24" fillId="9" borderId="0" xfId="0" applyFont="1" applyFill="1" applyBorder="1"/>
    <xf numFmtId="0" fontId="0" fillId="52" borderId="26" xfId="0" applyFill="1" applyBorder="1"/>
    <xf numFmtId="0" fontId="0" fillId="52" borderId="0" xfId="0" applyFill="1" applyBorder="1"/>
    <xf numFmtId="0" fontId="0" fillId="52" borderId="27" xfId="0" applyFill="1" applyBorder="1"/>
    <xf numFmtId="0" fontId="90" fillId="0" borderId="0" xfId="2404" applyFont="1" applyAlignment="1">
      <alignment horizontal="center" vertical="center" wrapText="1"/>
    </xf>
    <xf numFmtId="0" fontId="90" fillId="0" borderId="0" xfId="2404" applyFont="1" applyAlignment="1">
      <alignment vertical="center" wrapText="1"/>
    </xf>
    <xf numFmtId="0" fontId="92" fillId="0" borderId="0" xfId="2404" applyFont="1" applyAlignment="1">
      <alignment vertical="center" wrapText="1"/>
    </xf>
    <xf numFmtId="0" fontId="105" fillId="9" borderId="0" xfId="0" applyFont="1" applyFill="1" applyBorder="1"/>
    <xf numFmtId="0" fontId="55" fillId="8" borderId="2" xfId="455" applyFont="1" applyFill="1" applyBorder="1" applyAlignment="1">
      <alignment horizontal="center" vertical="center" wrapText="1"/>
    </xf>
    <xf numFmtId="221" fontId="92" fillId="0" borderId="0" xfId="2399" applyNumberFormat="1" applyFont="1" applyAlignment="1">
      <alignment horizontal="center"/>
    </xf>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0" fontId="24" fillId="9" borderId="26" xfId="2235" applyFill="1" applyBorder="1"/>
    <xf numFmtId="0" fontId="24" fillId="9" borderId="0" xfId="2235" applyFill="1" applyBorder="1"/>
    <xf numFmtId="4" fontId="92" fillId="0" borderId="0" xfId="2399" applyNumberFormat="1" applyFont="1" applyAlignment="1">
      <alignment horizontal="center"/>
    </xf>
    <xf numFmtId="2" fontId="90" fillId="0" borderId="0" xfId="2404" applyNumberFormat="1" applyFont="1" applyAlignment="1">
      <alignment horizontal="center" vertical="center" wrapText="1"/>
    </xf>
    <xf numFmtId="0" fontId="91" fillId="15" borderId="59" xfId="2404" applyNumberFormat="1" applyFont="1" applyFill="1" applyBorder="1" applyAlignment="1">
      <alignment horizontal="center" vertical="center" wrapText="1"/>
    </xf>
    <xf numFmtId="220" fontId="92" fillId="0" borderId="59" xfId="2404" applyNumberFormat="1" applyFont="1" applyFill="1" applyBorder="1" applyAlignment="1">
      <alignment horizontal="center" vertical="center" wrapText="1"/>
    </xf>
    <xf numFmtId="220" fontId="92" fillId="41" borderId="59" xfId="2404" applyNumberFormat="1" applyFont="1" applyFill="1" applyBorder="1" applyAlignment="1">
      <alignment horizontal="center" vertical="center" wrapText="1"/>
    </xf>
    <xf numFmtId="220" fontId="92" fillId="13" borderId="59" xfId="2404" applyNumberFormat="1" applyFont="1" applyFill="1" applyBorder="1" applyAlignment="1">
      <alignment horizontal="center" vertical="center" wrapText="1"/>
    </xf>
    <xf numFmtId="0" fontId="90" fillId="0" borderId="0" xfId="2404" applyFont="1" applyAlignment="1">
      <alignment horizontal="right" vertical="center" wrapText="1"/>
    </xf>
    <xf numFmtId="0" fontId="91" fillId="15" borderId="19" xfId="2404" applyNumberFormat="1" applyFont="1" applyFill="1" applyBorder="1" applyAlignment="1">
      <alignment horizontal="right" vertical="center" wrapText="1"/>
    </xf>
    <xf numFmtId="220" fontId="92" fillId="51" borderId="59" xfId="2404" applyNumberFormat="1" applyFont="1" applyFill="1" applyBorder="1" applyAlignment="1">
      <alignment horizontal="center" vertical="center" wrapText="1"/>
    </xf>
    <xf numFmtId="220" fontId="90" fillId="0" borderId="0" xfId="2404" applyNumberFormat="1" applyFont="1" applyAlignment="1">
      <alignment horizontal="center" vertical="center" wrapText="1"/>
    </xf>
    <xf numFmtId="2" fontId="90" fillId="0" borderId="0" xfId="2404" applyNumberFormat="1" applyFont="1" applyFill="1" applyBorder="1" applyAlignment="1">
      <alignment horizontal="center" vertical="center" wrapText="1"/>
    </xf>
    <xf numFmtId="227" fontId="90" fillId="0" borderId="0" xfId="2" applyNumberFormat="1" applyFont="1" applyFill="1" applyBorder="1" applyAlignment="1">
      <alignment horizontal="center" vertical="center" wrapText="1"/>
    </xf>
    <xf numFmtId="227" fontId="90" fillId="0" borderId="19" xfId="2" applyNumberFormat="1" applyFont="1" applyFill="1" applyBorder="1" applyAlignment="1">
      <alignment horizontal="center" vertical="center" wrapText="1"/>
    </xf>
    <xf numFmtId="164" fontId="97" fillId="49" borderId="19" xfId="3" applyNumberFormat="1" applyFont="1" applyFill="1" applyBorder="1" applyAlignment="1">
      <alignment horizontal="center" vertical="center" wrapText="1"/>
    </xf>
    <xf numFmtId="164" fontId="90" fillId="0" borderId="0" xfId="3" applyNumberFormat="1" applyFont="1" applyFill="1" applyBorder="1" applyAlignment="1">
      <alignment horizontal="center" vertical="center" wrapText="1"/>
    </xf>
    <xf numFmtId="0" fontId="106" fillId="0" borderId="0" xfId="2399" applyFont="1"/>
    <xf numFmtId="0" fontId="92" fillId="0" borderId="0" xfId="2399" applyFont="1" applyAlignment="1">
      <alignment horizontal="center"/>
    </xf>
    <xf numFmtId="221" fontId="107" fillId="49" borderId="59" xfId="2399" applyNumberFormat="1" applyFont="1" applyFill="1" applyBorder="1" applyAlignment="1">
      <alignment horizontal="center"/>
    </xf>
    <xf numFmtId="221" fontId="107" fillId="45" borderId="59" xfId="2399" applyNumberFormat="1" applyFont="1" applyFill="1" applyBorder="1" applyAlignment="1">
      <alignment horizontal="center"/>
    </xf>
    <xf numFmtId="228" fontId="89" fillId="0" borderId="19" xfId="2404" applyNumberFormat="1" applyFont="1" applyFill="1" applyBorder="1" applyAlignment="1">
      <alignment horizontal="center" vertical="center" wrapText="1"/>
    </xf>
    <xf numFmtId="44" fontId="24" fillId="0" borderId="20" xfId="2410" applyFont="1" applyBorder="1"/>
    <xf numFmtId="0" fontId="106" fillId="7" borderId="1" xfId="2399" applyFont="1" applyFill="1" applyBorder="1" applyAlignment="1">
      <alignment horizontal="center"/>
    </xf>
    <xf numFmtId="221" fontId="107" fillId="45" borderId="59" xfId="0" applyNumberFormat="1" applyFont="1" applyFill="1" applyBorder="1" applyAlignment="1">
      <alignment horizontal="center" vertical="center" wrapText="1"/>
    </xf>
    <xf numFmtId="0" fontId="107" fillId="49" borderId="59" xfId="0" applyNumberFormat="1" applyFont="1" applyFill="1" applyBorder="1" applyAlignment="1">
      <alignment horizontal="center" vertical="center" wrapText="1"/>
    </xf>
    <xf numFmtId="0" fontId="92" fillId="7" borderId="59" xfId="0" applyFont="1" applyFill="1" applyBorder="1" applyAlignment="1">
      <alignment horizontal="center" vertical="center" wrapText="1"/>
    </xf>
    <xf numFmtId="221" fontId="92" fillId="13" borderId="59" xfId="0" applyNumberFormat="1" applyFont="1" applyFill="1" applyBorder="1" applyAlignment="1">
      <alignment horizontal="center" vertical="center" wrapText="1"/>
    </xf>
    <xf numFmtId="221" fontId="108" fillId="13" borderId="59" xfId="0" applyNumberFormat="1" applyFont="1" applyFill="1" applyBorder="1" applyAlignment="1">
      <alignment horizontal="center" vertical="center" wrapText="1"/>
    </xf>
    <xf numFmtId="221" fontId="92" fillId="48" borderId="59" xfId="0" applyNumberFormat="1" applyFont="1" applyFill="1" applyBorder="1" applyAlignment="1">
      <alignment horizontal="center" vertical="center" wrapText="1"/>
    </xf>
    <xf numFmtId="221" fontId="108" fillId="48" borderId="59" xfId="0" applyNumberFormat="1" applyFont="1" applyFill="1" applyBorder="1" applyAlignment="1">
      <alignment horizontal="center" vertical="center" wrapText="1"/>
    </xf>
    <xf numFmtId="221" fontId="107" fillId="49" borderId="59" xfId="0" applyNumberFormat="1" applyFont="1" applyFill="1" applyBorder="1" applyAlignment="1">
      <alignment horizontal="center" vertical="center" wrapText="1"/>
    </xf>
    <xf numFmtId="0" fontId="96" fillId="49" borderId="59" xfId="2404" applyFont="1" applyFill="1" applyBorder="1" applyAlignment="1">
      <alignment horizontal="center" vertical="center" wrapText="1"/>
    </xf>
    <xf numFmtId="0" fontId="109" fillId="53" borderId="59" xfId="0" applyFont="1" applyFill="1" applyBorder="1" applyAlignment="1">
      <alignment horizontal="center" vertical="center" wrapText="1"/>
    </xf>
    <xf numFmtId="0" fontId="109" fillId="53" borderId="59" xfId="0" applyFont="1" applyFill="1" applyBorder="1" applyAlignment="1">
      <alignment horizontal="center" vertical="center"/>
    </xf>
    <xf numFmtId="0" fontId="109" fillId="53" borderId="59" xfId="0" applyNumberFormat="1" applyFont="1" applyFill="1" applyBorder="1" applyAlignment="1">
      <alignment horizontal="center" vertical="center" wrapText="1"/>
    </xf>
    <xf numFmtId="0" fontId="0" fillId="0" borderId="59" xfId="0" applyBorder="1" applyAlignment="1">
      <alignment horizontal="center"/>
    </xf>
    <xf numFmtId="193" fontId="0" fillId="0" borderId="59" xfId="2410" applyNumberFormat="1" applyFont="1" applyBorder="1" applyAlignment="1">
      <alignment horizontal="center"/>
    </xf>
    <xf numFmtId="0" fontId="24" fillId="0" borderId="20" xfId="2235" applyBorder="1" applyAlignment="1">
      <alignment horizontal="left"/>
    </xf>
    <xf numFmtId="0" fontId="109" fillId="53" borderId="59" xfId="0" applyFont="1" applyFill="1" applyBorder="1" applyAlignment="1">
      <alignment horizontal="left" vertical="center" wrapText="1"/>
    </xf>
    <xf numFmtId="193" fontId="24" fillId="0" borderId="59" xfId="2410" applyNumberFormat="1" applyFont="1" applyBorder="1" applyAlignment="1">
      <alignment horizontal="center"/>
    </xf>
    <xf numFmtId="14" fontId="66" fillId="0" borderId="0" xfId="0" applyNumberFormat="1" applyFont="1" applyFill="1" applyBorder="1" applyAlignment="1">
      <alignment horizontal="center"/>
    </xf>
    <xf numFmtId="3" fontId="66" fillId="0" borderId="0" xfId="0" applyNumberFormat="1" applyFont="1" applyFill="1" applyBorder="1" applyAlignment="1">
      <alignment vertical="top"/>
    </xf>
    <xf numFmtId="9" fontId="64" fillId="11" borderId="0" xfId="3" applyFont="1" applyFill="1" applyBorder="1" applyAlignment="1">
      <alignment horizontal="center" vertical="center"/>
    </xf>
    <xf numFmtId="49" fontId="66" fillId="0" borderId="0" xfId="0" applyNumberFormat="1" applyFont="1" applyFill="1" applyBorder="1" applyAlignment="1">
      <alignment horizontal="left" vertical="top" wrapText="1"/>
    </xf>
    <xf numFmtId="193" fontId="61" fillId="0" borderId="0" xfId="0" applyNumberFormat="1" applyFont="1"/>
    <xf numFmtId="229" fontId="61" fillId="0" borderId="0" xfId="0" applyNumberFormat="1" applyFont="1"/>
    <xf numFmtId="0" fontId="63" fillId="4" borderId="0" xfId="0" applyFont="1" applyFill="1" applyBorder="1"/>
    <xf numFmtId="0" fontId="101" fillId="4" borderId="0" xfId="0" applyFont="1" applyFill="1" applyBorder="1"/>
    <xf numFmtId="193" fontId="101" fillId="4" borderId="0" xfId="0" applyNumberFormat="1" applyFont="1" applyFill="1" applyBorder="1"/>
    <xf numFmtId="3" fontId="110" fillId="0" borderId="0" xfId="0" applyNumberFormat="1" applyFont="1" applyFill="1" applyBorder="1" applyAlignment="1">
      <alignment vertical="top"/>
    </xf>
    <xf numFmtId="0" fontId="63" fillId="11" borderId="0" xfId="0" applyFont="1" applyFill="1" applyBorder="1"/>
    <xf numFmtId="193" fontId="101" fillId="11" borderId="0" xfId="0" applyNumberFormat="1" applyFont="1" applyFill="1" applyBorder="1"/>
    <xf numFmtId="0" fontId="24" fillId="0" borderId="59" xfId="0" applyFont="1" applyBorder="1" applyAlignment="1">
      <alignment horizontal="center" wrapText="1"/>
    </xf>
    <xf numFmtId="0" fontId="24" fillId="0" borderId="59" xfId="0" applyFont="1" applyBorder="1" applyAlignment="1">
      <alignment horizontal="center"/>
    </xf>
    <xf numFmtId="0" fontId="58" fillId="0" borderId="0" xfId="0" applyFont="1" applyAlignment="1">
      <alignment horizontal="left" vertical="top"/>
    </xf>
    <xf numFmtId="0" fontId="90" fillId="3" borderId="19" xfId="2404" applyFont="1" applyFill="1" applyBorder="1" applyAlignment="1">
      <alignment horizontal="center" vertical="center" wrapText="1"/>
    </xf>
    <xf numFmtId="0" fontId="90" fillId="3" borderId="59" xfId="2404" applyFont="1" applyFill="1" applyBorder="1" applyAlignment="1">
      <alignment horizontal="center" vertical="center" wrapText="1"/>
    </xf>
    <xf numFmtId="0" fontId="92" fillId="3" borderId="19" xfId="2404" applyFont="1" applyFill="1" applyBorder="1" applyAlignment="1">
      <alignment vertical="center" wrapText="1"/>
    </xf>
    <xf numFmtId="0" fontId="92" fillId="3" borderId="19" xfId="2404" applyFont="1" applyFill="1" applyBorder="1" applyAlignment="1">
      <alignment horizontal="center" vertical="center" wrapText="1"/>
    </xf>
    <xf numFmtId="9" fontId="90" fillId="3" borderId="19" xfId="3" applyFont="1" applyFill="1" applyBorder="1" applyAlignment="1">
      <alignment horizontal="center" vertical="center" wrapText="1"/>
    </xf>
    <xf numFmtId="0" fontId="90" fillId="3" borderId="19" xfId="2404" applyFont="1" applyFill="1" applyBorder="1" applyAlignment="1">
      <alignment horizontal="right" vertical="center" wrapText="1"/>
    </xf>
    <xf numFmtId="14" fontId="92" fillId="3" borderId="19" xfId="2404" applyNumberFormat="1" applyFont="1" applyFill="1" applyBorder="1" applyAlignment="1">
      <alignment horizontal="center" vertical="center" wrapText="1"/>
    </xf>
    <xf numFmtId="14" fontId="89" fillId="3" borderId="59" xfId="2404" applyNumberFormat="1" applyFont="1" applyFill="1" applyBorder="1" applyAlignment="1">
      <alignment horizontal="center" vertical="center" wrapText="1"/>
    </xf>
    <xf numFmtId="14" fontId="92" fillId="3" borderId="59" xfId="2404" applyNumberFormat="1" applyFont="1" applyFill="1" applyBorder="1" applyAlignment="1">
      <alignment vertical="center" wrapText="1"/>
    </xf>
    <xf numFmtId="0" fontId="89" fillId="3" borderId="19" xfId="2404" applyFont="1" applyFill="1" applyBorder="1" applyAlignment="1">
      <alignment horizontal="center" vertical="center" wrapText="1"/>
    </xf>
    <xf numFmtId="0" fontId="92" fillId="3" borderId="2" xfId="2404" applyFont="1" applyFill="1" applyBorder="1" applyAlignment="1">
      <alignment vertical="center" wrapText="1"/>
    </xf>
    <xf numFmtId="0" fontId="92" fillId="3" borderId="19" xfId="2404" applyFont="1" applyFill="1" applyBorder="1" applyAlignment="1">
      <alignment horizontal="right" vertical="center" wrapText="1"/>
    </xf>
    <xf numFmtId="14" fontId="89" fillId="3" borderId="19" xfId="2404" applyNumberFormat="1" applyFont="1" applyFill="1" applyBorder="1" applyAlignment="1">
      <alignment horizontal="center" vertical="center" wrapText="1"/>
    </xf>
    <xf numFmtId="0" fontId="89" fillId="3" borderId="19" xfId="2404" quotePrefix="1" applyFont="1" applyFill="1" applyBorder="1" applyAlignment="1">
      <alignment horizontal="center" vertical="center" wrapText="1"/>
    </xf>
    <xf numFmtId="6" fontId="90" fillId="3" borderId="19" xfId="3" applyNumberFormat="1" applyFont="1" applyFill="1" applyBorder="1" applyAlignment="1">
      <alignment horizontal="center" vertical="center" wrapText="1"/>
    </xf>
    <xf numFmtId="10" fontId="90" fillId="3" borderId="19" xfId="3" applyNumberFormat="1" applyFont="1" applyFill="1" applyBorder="1" applyAlignment="1">
      <alignment horizontal="center" vertical="center" wrapText="1"/>
    </xf>
    <xf numFmtId="9" fontId="89" fillId="3" borderId="19" xfId="2404" applyNumberFormat="1" applyFont="1" applyFill="1" applyBorder="1" applyAlignment="1">
      <alignment horizontal="center" vertical="center" wrapText="1"/>
    </xf>
    <xf numFmtId="228" fontId="89" fillId="3" borderId="19" xfId="2404" applyNumberFormat="1" applyFont="1" applyFill="1" applyBorder="1" applyAlignment="1">
      <alignment horizontal="center" vertical="center" wrapText="1"/>
    </xf>
    <xf numFmtId="10" fontId="89" fillId="3" borderId="19" xfId="3" applyNumberFormat="1" applyFont="1" applyFill="1" applyBorder="1" applyAlignment="1">
      <alignment horizontal="center" vertical="center" wrapText="1"/>
    </xf>
    <xf numFmtId="0" fontId="95" fillId="3" borderId="19" xfId="2404" applyFont="1" applyFill="1" applyBorder="1" applyAlignment="1">
      <alignment horizontal="center" vertical="center" wrapText="1"/>
    </xf>
    <xf numFmtId="0" fontId="89" fillId="3" borderId="2" xfId="2404" applyFont="1" applyFill="1" applyBorder="1" applyAlignment="1">
      <alignment horizontal="center" vertical="center" wrapText="1"/>
    </xf>
    <xf numFmtId="9" fontId="89" fillId="3" borderId="2" xfId="2404" applyNumberFormat="1" applyFont="1" applyFill="1" applyBorder="1" applyAlignment="1">
      <alignment horizontal="center" vertical="center" wrapText="1"/>
    </xf>
    <xf numFmtId="224" fontId="89" fillId="3" borderId="19" xfId="2404" applyNumberFormat="1" applyFont="1" applyFill="1" applyBorder="1" applyAlignment="1">
      <alignment horizontal="center" vertical="center" wrapText="1"/>
    </xf>
    <xf numFmtId="9" fontId="89" fillId="3" borderId="19" xfId="3" applyFont="1" applyFill="1" applyBorder="1" applyAlignment="1">
      <alignment horizontal="center" vertical="center" wrapText="1"/>
    </xf>
    <xf numFmtId="224" fontId="89" fillId="3" borderId="2" xfId="2404" applyNumberFormat="1" applyFont="1" applyFill="1" applyBorder="1" applyAlignment="1">
      <alignment horizontal="center" vertical="center" wrapText="1"/>
    </xf>
    <xf numFmtId="0" fontId="89" fillId="3" borderId="59" xfId="2404" applyFont="1" applyFill="1" applyBorder="1" applyAlignment="1">
      <alignment horizontal="center" vertical="center" wrapText="1"/>
    </xf>
    <xf numFmtId="2" fontId="89" fillId="3" borderId="19" xfId="2404" applyNumberFormat="1" applyFont="1" applyFill="1" applyBorder="1" applyAlignment="1">
      <alignment horizontal="center" vertical="center" wrapText="1"/>
    </xf>
    <xf numFmtId="2" fontId="92" fillId="3" borderId="19" xfId="2404" applyNumberFormat="1" applyFont="1" applyFill="1" applyBorder="1" applyAlignment="1">
      <alignment horizontal="center" vertical="center" wrapText="1"/>
    </xf>
    <xf numFmtId="0" fontId="90" fillId="3" borderId="0" xfId="2404" applyFont="1" applyFill="1" applyAlignment="1">
      <alignment vertical="center" wrapText="1"/>
    </xf>
    <xf numFmtId="0" fontId="90" fillId="3" borderId="0" xfId="2404" applyFont="1" applyFill="1" applyAlignment="1">
      <alignment horizontal="center" vertical="center" wrapText="1"/>
    </xf>
    <xf numFmtId="220" fontId="92" fillId="3" borderId="19" xfId="2404" applyNumberFormat="1" applyFont="1" applyFill="1" applyBorder="1" applyAlignment="1">
      <alignment horizontal="center" vertical="center" wrapText="1"/>
    </xf>
    <xf numFmtId="2" fontId="90" fillId="3" borderId="19" xfId="2404" applyNumberFormat="1" applyFont="1" applyFill="1" applyBorder="1" applyAlignment="1">
      <alignment horizontal="center" vertical="center" wrapText="1"/>
    </xf>
    <xf numFmtId="0" fontId="92" fillId="3" borderId="2" xfId="2404" applyFont="1" applyFill="1" applyBorder="1" applyAlignment="1">
      <alignment horizontal="center" vertical="center" wrapText="1"/>
    </xf>
    <xf numFmtId="220" fontId="92" fillId="3" borderId="2" xfId="2404" applyNumberFormat="1" applyFont="1" applyFill="1" applyBorder="1" applyAlignment="1">
      <alignment horizontal="center" vertical="center" wrapText="1"/>
    </xf>
    <xf numFmtId="0" fontId="90" fillId="3" borderId="0" xfId="2404" applyFont="1" applyFill="1" applyAlignment="1">
      <alignment horizontal="right" vertical="center" wrapText="1"/>
    </xf>
    <xf numFmtId="2" fontId="90" fillId="3" borderId="0" xfId="2404" applyNumberFormat="1" applyFont="1" applyFill="1" applyAlignment="1">
      <alignment horizontal="center" vertical="center" wrapText="1"/>
    </xf>
    <xf numFmtId="9" fontId="90" fillId="3" borderId="19" xfId="2404" applyNumberFormat="1" applyFont="1" applyFill="1" applyBorder="1" applyAlignment="1">
      <alignment horizontal="center" vertical="center" wrapText="1"/>
    </xf>
    <xf numFmtId="218" fontId="65" fillId="0" borderId="0" xfId="0" applyNumberFormat="1" applyFont="1"/>
    <xf numFmtId="0" fontId="0" fillId="54" borderId="26" xfId="0" applyFill="1" applyBorder="1"/>
    <xf numFmtId="0" fontId="0" fillId="54" borderId="0" xfId="0" applyFill="1" applyBorder="1"/>
    <xf numFmtId="0" fontId="24" fillId="54" borderId="27" xfId="0" applyFont="1" applyFill="1" applyBorder="1"/>
    <xf numFmtId="182" fontId="65" fillId="0" borderId="0" xfId="3" applyNumberFormat="1" applyFont="1" applyFill="1" applyBorder="1" applyAlignment="1">
      <alignment horizontal="center" vertical="center" wrapText="1"/>
    </xf>
    <xf numFmtId="0" fontId="73" fillId="0" borderId="0" xfId="0" applyFont="1" applyAlignment="1">
      <alignment horizontal="center" vertical="center"/>
    </xf>
    <xf numFmtId="3" fontId="110" fillId="0" borderId="0" xfId="0" applyNumberFormat="1" applyFont="1" applyFill="1" applyBorder="1" applyAlignment="1">
      <alignment horizontal="left" vertical="top"/>
    </xf>
    <xf numFmtId="0" fontId="66" fillId="0" borderId="0" xfId="0" applyFont="1" applyAlignment="1"/>
    <xf numFmtId="9" fontId="64" fillId="11" borderId="0" xfId="3" applyFont="1" applyFill="1" applyBorder="1" applyAlignment="1">
      <alignment horizontal="center" vertical="center" wrapText="1"/>
    </xf>
    <xf numFmtId="0" fontId="24" fillId="48" borderId="27" xfId="0" applyFont="1" applyFill="1" applyBorder="1"/>
    <xf numFmtId="0" fontId="70" fillId="0" borderId="0" xfId="0" applyFont="1" applyAlignment="1"/>
    <xf numFmtId="236" fontId="64" fillId="4" borderId="0" xfId="0" applyNumberFormat="1" applyFont="1" applyFill="1" applyBorder="1" applyAlignment="1">
      <alignment horizontal="center" vertical="center"/>
    </xf>
    <xf numFmtId="0" fontId="58" fillId="0" borderId="0" xfId="0" applyFont="1" applyAlignment="1">
      <alignment vertical="center"/>
    </xf>
    <xf numFmtId="193" fontId="68" fillId="3" borderId="0" xfId="0" applyNumberFormat="1" applyFont="1" applyFill="1" applyBorder="1"/>
    <xf numFmtId="0" fontId="100" fillId="3" borderId="0" xfId="0" applyFont="1" applyFill="1" applyBorder="1"/>
    <xf numFmtId="0" fontId="100" fillId="3" borderId="0" xfId="0" applyFont="1" applyFill="1" applyBorder="1" applyAlignment="1">
      <alignment horizontal="center" wrapText="1"/>
    </xf>
    <xf numFmtId="0" fontId="111" fillId="3" borderId="0" xfId="0" applyFont="1" applyFill="1" applyBorder="1" applyAlignment="1">
      <alignment horizontal="left"/>
    </xf>
    <xf numFmtId="0" fontId="92" fillId="3" borderId="2" xfId="2404" applyFont="1" applyFill="1" applyBorder="1" applyAlignment="1">
      <alignment horizontal="right" vertical="center" wrapText="1"/>
    </xf>
    <xf numFmtId="2" fontId="92" fillId="3" borderId="2" xfId="2404" applyNumberFormat="1" applyFont="1" applyFill="1" applyBorder="1" applyAlignment="1">
      <alignment horizontal="center" vertical="center" wrapText="1"/>
    </xf>
    <xf numFmtId="0" fontId="55" fillId="8" borderId="65" xfId="455" applyFont="1" applyFill="1" applyBorder="1" applyAlignment="1">
      <alignment horizontal="center" vertical="center"/>
    </xf>
    <xf numFmtId="0" fontId="55" fillId="8" borderId="65" xfId="455" applyFont="1" applyFill="1" applyBorder="1" applyAlignment="1">
      <alignment horizontal="center" vertical="center" wrapText="1"/>
    </xf>
    <xf numFmtId="0" fontId="24" fillId="0" borderId="0" xfId="0" applyFont="1" applyFill="1" applyBorder="1"/>
    <xf numFmtId="0" fontId="0" fillId="0" borderId="0" xfId="0" applyFill="1" applyBorder="1"/>
    <xf numFmtId="0" fontId="0" fillId="0" borderId="0" xfId="0" applyFont="1" applyFill="1" applyBorder="1"/>
    <xf numFmtId="0" fontId="55" fillId="8" borderId="2" xfId="455" applyFont="1" applyFill="1" applyBorder="1" applyAlignment="1">
      <alignment horizontal="left" vertical="center"/>
    </xf>
    <xf numFmtId="49" fontId="92" fillId="0" borderId="2" xfId="0" applyNumberFormat="1" applyFont="1" applyBorder="1" applyAlignment="1">
      <alignment horizontal="center"/>
    </xf>
    <xf numFmtId="166" fontId="89" fillId="48" borderId="19" xfId="2404" applyNumberFormat="1" applyFont="1" applyFill="1" applyBorder="1" applyAlignment="1">
      <alignment horizontal="center" vertical="center" wrapText="1"/>
    </xf>
    <xf numFmtId="1" fontId="89" fillId="48" borderId="19" xfId="2404" applyNumberFormat="1" applyFont="1" applyFill="1" applyBorder="1" applyAlignment="1">
      <alignment horizontal="center" vertical="center" wrapText="1"/>
    </xf>
    <xf numFmtId="1" fontId="89" fillId="3" borderId="19" xfId="2404" applyNumberFormat="1" applyFont="1" applyFill="1" applyBorder="1" applyAlignment="1">
      <alignment horizontal="center" vertical="center" wrapText="1"/>
    </xf>
    <xf numFmtId="1" fontId="89" fillId="3" borderId="2" xfId="2404" applyNumberFormat="1" applyFont="1" applyFill="1" applyBorder="1" applyAlignment="1">
      <alignment horizontal="center" vertical="center" wrapText="1"/>
    </xf>
    <xf numFmtId="224" fontId="89" fillId="55" borderId="19" xfId="2404" applyNumberFormat="1" applyFont="1" applyFill="1" applyBorder="1" applyAlignment="1">
      <alignment horizontal="center" vertical="center" wrapText="1"/>
    </xf>
    <xf numFmtId="221" fontId="92" fillId="13" borderId="2" xfId="0" applyNumberFormat="1" applyFont="1" applyFill="1" applyBorder="1" applyAlignment="1">
      <alignment horizontal="center" vertical="center" wrapText="1"/>
    </xf>
    <xf numFmtId="221" fontId="108" fillId="13" borderId="2" xfId="0" applyNumberFormat="1" applyFont="1" applyFill="1" applyBorder="1" applyAlignment="1">
      <alignment horizontal="center" vertical="center" wrapText="1"/>
    </xf>
    <xf numFmtId="221" fontId="92" fillId="48" borderId="2" xfId="0" applyNumberFormat="1" applyFont="1" applyFill="1" applyBorder="1" applyAlignment="1">
      <alignment horizontal="center" vertical="center" wrapText="1"/>
    </xf>
    <xf numFmtId="221" fontId="108" fillId="48" borderId="2" xfId="0" applyNumberFormat="1" applyFont="1" applyFill="1" applyBorder="1" applyAlignment="1">
      <alignment horizontal="center" vertical="center" wrapText="1"/>
    </xf>
    <xf numFmtId="0" fontId="58" fillId="0" borderId="0" xfId="0" applyNumberFormat="1" applyFont="1" applyAlignment="1">
      <alignment horizontal="center" vertical="center" wrapText="1"/>
    </xf>
    <xf numFmtId="3" fontId="64" fillId="4" borderId="0" xfId="0" applyNumberFormat="1" applyFont="1" applyFill="1" applyBorder="1" applyAlignment="1">
      <alignment horizontal="center" vertical="center" wrapText="1"/>
    </xf>
    <xf numFmtId="0" fontId="58" fillId="0" borderId="0" xfId="0" applyFont="1"/>
    <xf numFmtId="0" fontId="64" fillId="4" borderId="0" xfId="0" applyNumberFormat="1" applyFont="1" applyFill="1" applyBorder="1" applyAlignment="1">
      <alignment horizontal="center" vertical="center"/>
    </xf>
    <xf numFmtId="0" fontId="0" fillId="0" borderId="0" xfId="0" applyNumberFormat="1" applyAlignment="1"/>
    <xf numFmtId="0" fontId="112" fillId="0" borderId="0" xfId="0" applyFont="1" applyAlignment="1">
      <alignment horizontal="left" vertical="top" wrapText="1"/>
    </xf>
    <xf numFmtId="0" fontId="70" fillId="0" borderId="0" xfId="0" applyFont="1" applyFill="1" applyBorder="1" applyAlignment="1">
      <alignment horizontal="center" vertical="top" wrapText="1"/>
    </xf>
    <xf numFmtId="0" fontId="0" fillId="0" borderId="0" xfId="0" applyAlignment="1"/>
    <xf numFmtId="0" fontId="70" fillId="0" borderId="0" xfId="0" applyFont="1" applyAlignment="1">
      <alignment horizontal="left" vertical="center"/>
    </xf>
    <xf numFmtId="0" fontId="58" fillId="0" borderId="0" xfId="0" applyFont="1" applyAlignment="1">
      <alignment vertical="top"/>
    </xf>
    <xf numFmtId="0" fontId="64" fillId="11" borderId="0" xfId="3" applyNumberFormat="1" applyFont="1" applyFill="1" applyBorder="1" applyAlignment="1">
      <alignment horizontal="center" vertical="center"/>
    </xf>
    <xf numFmtId="0" fontId="92" fillId="0" borderId="2" xfId="2404" applyFont="1" applyBorder="1" applyAlignment="1">
      <alignment vertical="center" wrapText="1"/>
    </xf>
    <xf numFmtId="3" fontId="65" fillId="0" borderId="0" xfId="0" applyNumberFormat="1" applyFont="1" applyFill="1" applyBorder="1" applyAlignment="1">
      <alignment vertical="top" wrapText="1"/>
    </xf>
    <xf numFmtId="0" fontId="58" fillId="0" borderId="0" xfId="0" applyFont="1" applyFill="1"/>
    <xf numFmtId="0" fontId="70" fillId="0" borderId="0" xfId="0" applyFont="1" applyBorder="1" applyAlignment="1">
      <alignment horizontal="left" vertical="center"/>
    </xf>
    <xf numFmtId="0" fontId="63" fillId="4" borderId="0" xfId="0" applyFont="1" applyFill="1" applyBorder="1" applyAlignment="1">
      <alignment horizontal="center" vertical="center"/>
    </xf>
    <xf numFmtId="0" fontId="65" fillId="0" borderId="0" xfId="0" applyFont="1" applyFill="1" applyBorder="1" applyAlignment="1">
      <alignment vertical="center" wrapText="1"/>
    </xf>
    <xf numFmtId="0" fontId="58" fillId="0" borderId="0" xfId="0" applyFont="1" applyAlignment="1"/>
    <xf numFmtId="0" fontId="65" fillId="0" borderId="0" xfId="0" applyFont="1" applyFill="1" applyBorder="1" applyAlignment="1">
      <alignment horizontal="left" vertical="center" wrapText="1"/>
    </xf>
    <xf numFmtId="0" fontId="65" fillId="0" borderId="0" xfId="0" applyFont="1" applyAlignment="1">
      <alignment horizontal="left" vertical="top" wrapText="1"/>
    </xf>
    <xf numFmtId="0" fontId="63" fillId="11" borderId="0" xfId="0" applyFont="1" applyFill="1" applyBorder="1" applyAlignment="1">
      <alignment horizontal="center" vertical="center"/>
    </xf>
    <xf numFmtId="0" fontId="70" fillId="0" borderId="0" xfId="0" applyFont="1" applyBorder="1" applyAlignment="1">
      <alignment horizontal="center" vertical="center"/>
    </xf>
    <xf numFmtId="4" fontId="58" fillId="0" borderId="0" xfId="0" applyNumberFormat="1" applyFont="1"/>
    <xf numFmtId="0" fontId="114" fillId="0" borderId="0" xfId="0" applyFont="1" applyFill="1" applyAlignment="1">
      <alignment vertical="center" wrapText="1"/>
    </xf>
    <xf numFmtId="0" fontId="114" fillId="56" borderId="0" xfId="0" applyFont="1" applyFill="1" applyAlignment="1">
      <alignment horizontal="center" vertical="center" wrapText="1"/>
    </xf>
    <xf numFmtId="0" fontId="70" fillId="0" borderId="0" xfId="0" applyFont="1" applyAlignment="1">
      <alignment vertical="center"/>
    </xf>
    <xf numFmtId="0" fontId="90" fillId="0" borderId="2" xfId="2404" applyFont="1" applyFill="1" applyBorder="1" applyAlignment="1">
      <alignment horizontal="center" vertical="center" wrapText="1"/>
    </xf>
    <xf numFmtId="184" fontId="64" fillId="4" borderId="0" xfId="0" applyNumberFormat="1" applyFont="1" applyFill="1" applyBorder="1" applyAlignment="1">
      <alignment horizontal="center" vertical="center"/>
    </xf>
    <xf numFmtId="0" fontId="58" fillId="0" borderId="0" xfId="0" applyNumberFormat="1" applyFont="1"/>
    <xf numFmtId="0" fontId="65" fillId="0" borderId="66" xfId="0" applyFont="1" applyFill="1" applyBorder="1" applyAlignment="1">
      <alignment horizontal="center" vertical="top" wrapText="1"/>
    </xf>
    <xf numFmtId="0" fontId="58" fillId="0" borderId="68" xfId="0" applyFont="1" applyBorder="1"/>
    <xf numFmtId="3" fontId="64" fillId="4" borderId="0" xfId="0" applyNumberFormat="1" applyFont="1" applyFill="1" applyBorder="1" applyAlignment="1">
      <alignment horizontal="left" vertical="top"/>
    </xf>
    <xf numFmtId="0" fontId="102" fillId="0" borderId="0" xfId="1017" applyFont="1" applyBorder="1" applyAlignment="1">
      <alignment vertical="center" wrapText="1"/>
    </xf>
    <xf numFmtId="0" fontId="92" fillId="0" borderId="65" xfId="2404" applyFont="1" applyBorder="1" applyAlignment="1">
      <alignment vertical="center" wrapText="1"/>
    </xf>
    <xf numFmtId="0" fontId="92" fillId="0" borderId="67" xfId="2404" applyFont="1" applyBorder="1" applyAlignment="1">
      <alignment vertical="center" wrapText="1"/>
    </xf>
    <xf numFmtId="0" fontId="87" fillId="0" borderId="0" xfId="0" applyFont="1" applyAlignment="1">
      <alignment horizontal="left"/>
    </xf>
    <xf numFmtId="0" fontId="91" fillId="15" borderId="69" xfId="2404" applyNumberFormat="1" applyFont="1" applyFill="1" applyBorder="1" applyAlignment="1">
      <alignment horizontal="center" vertical="center" wrapText="1"/>
    </xf>
    <xf numFmtId="0" fontId="92" fillId="57" borderId="2" xfId="2404" applyFont="1" applyFill="1" applyBorder="1" applyAlignment="1">
      <alignment horizontal="center" vertical="center" wrapText="1"/>
    </xf>
    <xf numFmtId="0" fontId="90" fillId="0" borderId="65" xfId="2404" applyFont="1" applyFill="1" applyBorder="1" applyAlignment="1">
      <alignment horizontal="center" vertical="center" wrapText="1"/>
    </xf>
    <xf numFmtId="0" fontId="97" fillId="49" borderId="69" xfId="2404" applyNumberFormat="1" applyFont="1" applyFill="1" applyBorder="1" applyAlignment="1">
      <alignment horizontal="center" vertical="center" wrapText="1"/>
    </xf>
    <xf numFmtId="0" fontId="90" fillId="0" borderId="67" xfId="2404" applyFont="1" applyFill="1" applyBorder="1" applyAlignment="1">
      <alignment horizontal="center" vertical="center" wrapText="1"/>
    </xf>
    <xf numFmtId="184" fontId="64" fillId="11" borderId="0" xfId="0" applyNumberFormat="1" applyFont="1" applyFill="1" applyBorder="1" applyAlignment="1">
      <alignment horizontal="center" vertical="center"/>
    </xf>
    <xf numFmtId="4" fontId="64" fillId="11" borderId="0" xfId="0" applyNumberFormat="1" applyFont="1" applyFill="1" applyBorder="1" applyAlignment="1">
      <alignment horizontal="center" vertical="center"/>
    </xf>
    <xf numFmtId="0" fontId="90" fillId="3" borderId="65" xfId="2404" applyFont="1" applyFill="1" applyBorder="1" applyAlignment="1">
      <alignment horizontal="center" vertical="center" wrapText="1"/>
    </xf>
    <xf numFmtId="0" fontId="65" fillId="0" borderId="0" xfId="0" applyFont="1" applyAlignment="1">
      <alignment vertical="top"/>
    </xf>
    <xf numFmtId="0" fontId="65" fillId="0" borderId="0" xfId="0" applyFont="1" applyFill="1" applyBorder="1" applyAlignment="1">
      <alignment vertical="top" wrapText="1"/>
    </xf>
    <xf numFmtId="0" fontId="64" fillId="0" borderId="0" xfId="3" applyNumberFormat="1" applyFont="1" applyFill="1" applyBorder="1" applyAlignment="1">
      <alignment horizontal="center" vertical="center"/>
    </xf>
    <xf numFmtId="0" fontId="64" fillId="11" borderId="0" xfId="3" applyNumberFormat="1" applyFont="1" applyFill="1" applyBorder="1" applyAlignment="1">
      <alignment horizontal="left" vertical="center" wrapText="1"/>
    </xf>
    <xf numFmtId="0" fontId="69" fillId="0" borderId="0" xfId="0" applyFont="1" applyAlignment="1">
      <alignment vertical="center"/>
    </xf>
    <xf numFmtId="235" fontId="64" fillId="11" borderId="0" xfId="0" applyNumberFormat="1" applyFont="1" applyFill="1" applyBorder="1" applyAlignment="1">
      <alignment horizontal="center" vertical="center"/>
    </xf>
    <xf numFmtId="0" fontId="64" fillId="11" borderId="0" xfId="0" applyNumberFormat="1" applyFont="1" applyFill="1" applyBorder="1" applyAlignment="1">
      <alignment horizontal="center" vertical="center"/>
    </xf>
    <xf numFmtId="49" fontId="66" fillId="0" borderId="0" xfId="0" applyNumberFormat="1" applyFont="1" applyFill="1" applyBorder="1" applyAlignment="1">
      <alignment horizontal="left" vertical="center" wrapText="1"/>
    </xf>
    <xf numFmtId="0" fontId="64" fillId="4" borderId="70" xfId="0" applyNumberFormat="1" applyFont="1" applyFill="1" applyBorder="1" applyAlignment="1">
      <alignment horizontal="center" vertical="center"/>
    </xf>
    <xf numFmtId="0" fontId="64" fillId="4" borderId="71" xfId="0" applyNumberFormat="1" applyFont="1" applyFill="1" applyBorder="1" applyAlignment="1">
      <alignment horizontal="center" vertical="center"/>
    </xf>
    <xf numFmtId="0" fontId="64" fillId="4" borderId="72" xfId="0" applyNumberFormat="1" applyFont="1" applyFill="1" applyBorder="1" applyAlignment="1">
      <alignment horizontal="center" vertical="center"/>
    </xf>
    <xf numFmtId="3" fontId="64" fillId="4" borderId="73" xfId="0" applyNumberFormat="1" applyFont="1" applyFill="1" applyBorder="1" applyAlignment="1">
      <alignment horizontal="left" vertical="top"/>
    </xf>
    <xf numFmtId="3" fontId="64" fillId="4" borderId="74" xfId="0" applyNumberFormat="1" applyFont="1" applyFill="1" applyBorder="1" applyAlignment="1">
      <alignment horizontal="left" vertical="top"/>
    </xf>
    <xf numFmtId="0" fontId="64" fillId="11" borderId="0" xfId="0" applyNumberFormat="1" applyFont="1" applyFill="1" applyBorder="1" applyAlignment="1">
      <alignment horizontal="center"/>
    </xf>
    <xf numFmtId="0" fontId="64" fillId="11" borderId="0" xfId="0" applyFont="1" applyFill="1"/>
    <xf numFmtId="0" fontId="65" fillId="11" borderId="0" xfId="0" applyFont="1" applyFill="1"/>
    <xf numFmtId="0" fontId="64" fillId="11" borderId="0" xfId="0" applyFont="1" applyFill="1" applyAlignment="1">
      <alignment vertical="center"/>
    </xf>
    <xf numFmtId="218" fontId="65" fillId="11" borderId="0" xfId="0" applyNumberFormat="1" applyFont="1" applyFill="1" applyAlignment="1">
      <alignment horizontal="left" vertical="top" wrapText="1"/>
    </xf>
    <xf numFmtId="218" fontId="65" fillId="11" borderId="0" xfId="0" applyNumberFormat="1" applyFont="1" applyFill="1"/>
    <xf numFmtId="235" fontId="64" fillId="0" borderId="0" xfId="0" applyNumberFormat="1" applyFont="1" applyFill="1" applyBorder="1" applyAlignment="1">
      <alignment horizontal="center" vertical="center"/>
    </xf>
    <xf numFmtId="0" fontId="64" fillId="0" borderId="0" xfId="0" applyNumberFormat="1" applyFont="1" applyFill="1" applyBorder="1" applyAlignment="1">
      <alignment horizontal="center" vertical="center"/>
    </xf>
    <xf numFmtId="0" fontId="64" fillId="11" borderId="0" xfId="0" applyFont="1" applyFill="1" applyAlignment="1">
      <alignment horizontal="center" vertical="center"/>
    </xf>
    <xf numFmtId="3" fontId="89" fillId="3" borderId="19" xfId="2404" applyNumberFormat="1" applyFont="1" applyFill="1" applyBorder="1" applyAlignment="1">
      <alignment horizontal="center" vertical="center" wrapText="1"/>
    </xf>
    <xf numFmtId="10" fontId="89" fillId="48" borderId="19" xfId="3" applyNumberFormat="1" applyFont="1" applyFill="1" applyBorder="1" applyAlignment="1">
      <alignment horizontal="center" vertical="center" wrapText="1"/>
    </xf>
    <xf numFmtId="1" fontId="89" fillId="0" borderId="19" xfId="3" applyNumberFormat="1" applyFont="1" applyFill="1" applyBorder="1" applyAlignment="1">
      <alignment horizontal="center" vertical="center" wrapText="1"/>
    </xf>
    <xf numFmtId="237" fontId="90" fillId="0" borderId="2" xfId="2404" applyNumberFormat="1" applyFont="1" applyFill="1" applyBorder="1" applyAlignment="1">
      <alignment horizontal="center" vertical="center" wrapText="1"/>
    </xf>
    <xf numFmtId="0" fontId="96" fillId="4" borderId="2" xfId="2404" applyFont="1" applyFill="1" applyBorder="1" applyAlignment="1">
      <alignment horizontal="center" vertical="center" wrapText="1"/>
    </xf>
    <xf numFmtId="0" fontId="97" fillId="4" borderId="2" xfId="2404" applyNumberFormat="1" applyFont="1" applyFill="1" applyBorder="1" applyAlignment="1">
      <alignment horizontal="center" vertical="center" wrapText="1"/>
    </xf>
    <xf numFmtId="0" fontId="97" fillId="40" borderId="2" xfId="2404" applyNumberFormat="1" applyFont="1" applyFill="1" applyBorder="1" applyAlignment="1">
      <alignment horizontal="center" vertical="center" wrapText="1"/>
    </xf>
    <xf numFmtId="227" fontId="97" fillId="40" borderId="2" xfId="2" applyNumberFormat="1" applyFont="1" applyFill="1" applyBorder="1" applyAlignment="1">
      <alignment horizontal="center" vertical="center" wrapText="1"/>
    </xf>
    <xf numFmtId="171" fontId="97" fillId="40" borderId="2" xfId="2404" applyNumberFormat="1" applyFont="1" applyFill="1" applyBorder="1" applyAlignment="1">
      <alignment horizontal="center" vertical="center" wrapText="1"/>
    </xf>
    <xf numFmtId="0" fontId="97" fillId="50" borderId="2" xfId="2404" applyNumberFormat="1" applyFont="1" applyFill="1" applyBorder="1" applyAlignment="1">
      <alignment horizontal="center" vertical="center" wrapText="1"/>
    </xf>
    <xf numFmtId="224" fontId="97" fillId="40" borderId="2" xfId="2404" applyNumberFormat="1" applyFont="1" applyFill="1" applyBorder="1" applyAlignment="1">
      <alignment horizontal="center" vertical="center" wrapText="1"/>
    </xf>
    <xf numFmtId="181" fontId="97" fillId="40" borderId="2" xfId="2404" applyNumberFormat="1" applyFont="1" applyFill="1" applyBorder="1" applyAlignment="1">
      <alignment horizontal="center" vertical="center" wrapText="1"/>
    </xf>
    <xf numFmtId="10" fontId="97" fillId="50" borderId="2" xfId="2405" applyNumberFormat="1" applyFont="1" applyFill="1" applyBorder="1" applyAlignment="1">
      <alignment horizontal="center" vertical="center" wrapText="1"/>
    </xf>
    <xf numFmtId="9" fontId="97" fillId="40" borderId="2" xfId="2405" applyFont="1" applyFill="1" applyBorder="1" applyAlignment="1">
      <alignment horizontal="center" vertical="center" wrapText="1"/>
    </xf>
    <xf numFmtId="2" fontId="97" fillId="4" borderId="2" xfId="2404" applyNumberFormat="1" applyFont="1" applyFill="1" applyBorder="1" applyAlignment="1">
      <alignment horizontal="center" vertical="center" wrapText="1"/>
    </xf>
    <xf numFmtId="9" fontId="97" fillId="4" borderId="2" xfId="3" applyFont="1" applyFill="1" applyBorder="1" applyAlignment="1">
      <alignment horizontal="center" vertical="center" wrapText="1"/>
    </xf>
    <xf numFmtId="10" fontId="97" fillId="4" borderId="2" xfId="2405" applyNumberFormat="1" applyFont="1" applyFill="1" applyBorder="1" applyAlignment="1">
      <alignment horizontal="center" vertical="center" wrapText="1"/>
    </xf>
    <xf numFmtId="164" fontId="97" fillId="4" borderId="2" xfId="2405" applyNumberFormat="1" applyFont="1" applyFill="1" applyBorder="1" applyAlignment="1">
      <alignment horizontal="center" vertical="center" wrapText="1"/>
    </xf>
    <xf numFmtId="0" fontId="89" fillId="0" borderId="2" xfId="2404" applyFont="1" applyFill="1" applyBorder="1" applyAlignment="1">
      <alignment horizontal="center" vertical="center" wrapText="1"/>
    </xf>
    <xf numFmtId="227" fontId="89" fillId="0" borderId="2" xfId="2" applyNumberFormat="1" applyFont="1" applyFill="1" applyBorder="1" applyAlignment="1">
      <alignment horizontal="center" vertical="center" wrapText="1"/>
    </xf>
    <xf numFmtId="227" fontId="89" fillId="16" borderId="2" xfId="2" applyNumberFormat="1" applyFont="1" applyFill="1" applyBorder="1" applyAlignment="1">
      <alignment horizontal="center" vertical="center" wrapText="1"/>
    </xf>
    <xf numFmtId="1" fontId="89" fillId="16" borderId="2" xfId="2404" applyNumberFormat="1" applyFont="1" applyFill="1" applyBorder="1" applyAlignment="1">
      <alignment horizontal="center" vertical="center" wrapText="1"/>
    </xf>
    <xf numFmtId="0" fontId="89" fillId="0" borderId="2" xfId="2404" quotePrefix="1" applyFont="1" applyFill="1" applyBorder="1" applyAlignment="1">
      <alignment horizontal="center" vertical="center" wrapText="1"/>
    </xf>
    <xf numFmtId="224" fontId="89" fillId="0" borderId="2" xfId="2404" applyNumberFormat="1" applyFont="1" applyFill="1" applyBorder="1" applyAlignment="1">
      <alignment horizontal="center" vertical="center" wrapText="1"/>
    </xf>
    <xf numFmtId="9" fontId="89" fillId="0" borderId="2" xfId="2404" applyNumberFormat="1" applyFont="1" applyFill="1" applyBorder="1" applyAlignment="1">
      <alignment horizontal="center" vertical="center" wrapText="1"/>
    </xf>
    <xf numFmtId="9" fontId="89" fillId="0" borderId="2" xfId="3" applyFont="1" applyFill="1" applyBorder="1" applyAlignment="1">
      <alignment horizontal="center" vertical="center" wrapText="1"/>
    </xf>
    <xf numFmtId="2" fontId="89" fillId="0" borderId="2" xfId="2404" applyNumberFormat="1" applyFont="1" applyFill="1" applyBorder="1" applyAlignment="1">
      <alignment horizontal="center" vertical="center" wrapText="1"/>
    </xf>
    <xf numFmtId="164" fontId="89" fillId="0" borderId="2" xfId="3" applyNumberFormat="1" applyFont="1" applyFill="1" applyBorder="1" applyAlignment="1">
      <alignment horizontal="center" vertical="center" wrapText="1"/>
    </xf>
    <xf numFmtId="10" fontId="90" fillId="0" borderId="2" xfId="2404" applyNumberFormat="1" applyFont="1" applyFill="1" applyBorder="1" applyAlignment="1">
      <alignment horizontal="center" vertical="center" wrapText="1"/>
    </xf>
    <xf numFmtId="0" fontId="89" fillId="12" borderId="2" xfId="2404" applyFont="1" applyFill="1" applyBorder="1" applyAlignment="1">
      <alignment horizontal="center" vertical="center" wrapText="1"/>
    </xf>
    <xf numFmtId="227" fontId="89" fillId="3" borderId="2" xfId="2" applyNumberFormat="1" applyFont="1" applyFill="1" applyBorder="1" applyAlignment="1">
      <alignment horizontal="center" vertical="center" wrapText="1"/>
    </xf>
    <xf numFmtId="9" fontId="89" fillId="3" borderId="2" xfId="3" applyFont="1" applyFill="1" applyBorder="1" applyAlignment="1">
      <alignment horizontal="center" vertical="center" wrapText="1"/>
    </xf>
    <xf numFmtId="164" fontId="89" fillId="3" borderId="2" xfId="3" applyNumberFormat="1" applyFont="1" applyFill="1" applyBorder="1" applyAlignment="1">
      <alignment horizontal="center" vertical="center" wrapText="1"/>
    </xf>
    <xf numFmtId="0" fontId="117" fillId="0" borderId="0" xfId="0" applyFont="1" applyAlignment="1">
      <alignment horizontal="right" vertical="center" wrapText="1"/>
    </xf>
    <xf numFmtId="0" fontId="118" fillId="0" borderId="0" xfId="0" applyFont="1" applyAlignment="1">
      <alignment horizontal="right" vertical="center" wrapText="1"/>
    </xf>
    <xf numFmtId="164" fontId="90" fillId="3" borderId="19" xfId="2404" applyNumberFormat="1" applyFont="1" applyFill="1" applyBorder="1" applyAlignment="1">
      <alignment horizontal="center" vertical="center" wrapText="1"/>
    </xf>
    <xf numFmtId="1" fontId="0" fillId="9" borderId="0" xfId="0" applyNumberFormat="1" applyFill="1" applyBorder="1"/>
    <xf numFmtId="9" fontId="0" fillId="9" borderId="0" xfId="0" applyNumberFormat="1" applyFill="1" applyBorder="1"/>
    <xf numFmtId="0" fontId="89" fillId="0" borderId="19" xfId="3" applyNumberFormat="1" applyFont="1" applyFill="1" applyBorder="1" applyAlignment="1">
      <alignment horizontal="center" vertical="center" wrapText="1"/>
    </xf>
    <xf numFmtId="0" fontId="89" fillId="3" borderId="19" xfId="2404" applyNumberFormat="1" applyFont="1" applyFill="1" applyBorder="1" applyAlignment="1">
      <alignment horizontal="center" vertical="center" wrapText="1"/>
    </xf>
    <xf numFmtId="10" fontId="89" fillId="3" borderId="2" xfId="2404" applyNumberFormat="1" applyFont="1" applyFill="1" applyBorder="1" applyAlignment="1">
      <alignment horizontal="center" vertical="center" wrapText="1"/>
    </xf>
    <xf numFmtId="9" fontId="92" fillId="3" borderId="59" xfId="2404" applyNumberFormat="1" applyFont="1" applyFill="1" applyBorder="1" applyAlignment="1">
      <alignment vertical="center" wrapText="1"/>
    </xf>
    <xf numFmtId="0" fontId="89" fillId="16" borderId="2" xfId="2404" applyFont="1" applyFill="1" applyBorder="1" applyAlignment="1">
      <alignment horizontal="center" vertical="center" wrapText="1"/>
    </xf>
    <xf numFmtId="9" fontId="90" fillId="0" borderId="67" xfId="3" applyFont="1" applyFill="1" applyBorder="1" applyAlignment="1">
      <alignment horizontal="center" vertical="center" wrapText="1"/>
    </xf>
    <xf numFmtId="0" fontId="90" fillId="3" borderId="70" xfId="2404" applyFont="1" applyFill="1" applyBorder="1" applyAlignment="1">
      <alignment horizontal="center" vertical="center" wrapText="1"/>
    </xf>
    <xf numFmtId="0" fontId="90" fillId="0" borderId="59" xfId="2404" applyFont="1" applyFill="1" applyBorder="1" applyAlignment="1">
      <alignment horizontal="center" vertical="center" wrapText="1"/>
    </xf>
    <xf numFmtId="0" fontId="92" fillId="3" borderId="0" xfId="2404" applyFont="1" applyFill="1" applyBorder="1" applyAlignment="1">
      <alignment horizontal="center" vertical="center" wrapText="1"/>
    </xf>
    <xf numFmtId="0" fontId="117" fillId="0" borderId="19" xfId="0" applyFont="1" applyBorder="1" applyAlignment="1">
      <alignment vertical="center"/>
    </xf>
    <xf numFmtId="9" fontId="90" fillId="0" borderId="67" xfId="2404" applyNumberFormat="1" applyFont="1" applyFill="1" applyBorder="1" applyAlignment="1">
      <alignment horizontal="center" vertical="center" wrapText="1"/>
    </xf>
    <xf numFmtId="0" fontId="92" fillId="7" borderId="2" xfId="0" applyFont="1" applyFill="1" applyBorder="1" applyAlignment="1">
      <alignment horizontal="center" vertical="center" wrapText="1"/>
    </xf>
    <xf numFmtId="0" fontId="106" fillId="58" borderId="0" xfId="2399" applyFont="1" applyFill="1" applyAlignment="1">
      <alignment horizontal="center" wrapText="1"/>
    </xf>
    <xf numFmtId="0" fontId="106" fillId="0" borderId="2" xfId="2399" applyFont="1" applyBorder="1"/>
    <xf numFmtId="0" fontId="102" fillId="58" borderId="2" xfId="2399" applyFont="1" applyFill="1" applyBorder="1" applyAlignment="1">
      <alignment horizontal="center" vertical="center"/>
    </xf>
    <xf numFmtId="3" fontId="89" fillId="16" borderId="19" xfId="2404" applyNumberFormat="1" applyFont="1" applyFill="1" applyBorder="1" applyAlignment="1">
      <alignment horizontal="center" vertical="center" wrapText="1"/>
    </xf>
    <xf numFmtId="0" fontId="89" fillId="16" borderId="19" xfId="2404" applyFont="1" applyFill="1" applyBorder="1" applyAlignment="1">
      <alignment horizontal="center" vertical="center" wrapText="1"/>
    </xf>
    <xf numFmtId="166" fontId="89" fillId="3" borderId="19" xfId="2404" applyNumberFormat="1" applyFont="1" applyFill="1" applyBorder="1" applyAlignment="1">
      <alignment horizontal="center" vertical="center" wrapText="1"/>
    </xf>
    <xf numFmtId="166" fontId="89" fillId="0" borderId="19" xfId="3" applyNumberFormat="1" applyFont="1" applyFill="1" applyBorder="1" applyAlignment="1">
      <alignment horizontal="center" vertical="center" wrapText="1"/>
    </xf>
    <xf numFmtId="9" fontId="89" fillId="16" borderId="2" xfId="3" applyFont="1" applyFill="1" applyBorder="1" applyAlignment="1">
      <alignment horizontal="center" vertical="center" wrapText="1"/>
    </xf>
    <xf numFmtId="10" fontId="90" fillId="0" borderId="67" xfId="2404" applyNumberFormat="1" applyFont="1" applyFill="1" applyBorder="1" applyAlignment="1">
      <alignment horizontal="center" vertical="center" wrapText="1"/>
    </xf>
    <xf numFmtId="0" fontId="90" fillId="16" borderId="2" xfId="2404" applyFont="1" applyFill="1" applyBorder="1" applyAlignment="1">
      <alignment horizontal="center" vertical="center" wrapText="1"/>
    </xf>
    <xf numFmtId="10" fontId="0" fillId="9" borderId="0" xfId="0" applyNumberFormat="1" applyFill="1" applyBorder="1"/>
    <xf numFmtId="9" fontId="89" fillId="5" borderId="2" xfId="3" applyFont="1" applyFill="1" applyBorder="1" applyAlignment="1">
      <alignment horizontal="center" vertical="center" wrapText="1"/>
    </xf>
    <xf numFmtId="0" fontId="106" fillId="0" borderId="0" xfId="2404" applyFont="1" applyAlignment="1">
      <alignment horizontal="center" vertical="center" wrapText="1"/>
    </xf>
    <xf numFmtId="0" fontId="106" fillId="0" borderId="0" xfId="2404" applyFont="1" applyAlignment="1">
      <alignment vertical="center" wrapText="1"/>
    </xf>
    <xf numFmtId="6" fontId="56" fillId="8" borderId="21" xfId="2235" applyNumberFormat="1" applyFont="1" applyFill="1" applyBorder="1" applyAlignment="1">
      <alignment vertical="center"/>
    </xf>
    <xf numFmtId="0" fontId="56" fillId="8" borderId="21" xfId="2235" applyFont="1" applyFill="1" applyBorder="1" applyAlignment="1">
      <alignment vertical="center" wrapText="1"/>
    </xf>
    <xf numFmtId="0" fontId="56" fillId="8" borderId="21" xfId="2235" applyFont="1" applyFill="1" applyBorder="1" applyAlignment="1">
      <alignment horizontal="center" vertical="center" wrapText="1"/>
    </xf>
    <xf numFmtId="9" fontId="64" fillId="4" borderId="0" xfId="3" applyFont="1" applyFill="1" applyBorder="1" applyAlignment="1">
      <alignment horizontal="center" vertical="center" wrapText="1"/>
    </xf>
    <xf numFmtId="230" fontId="64" fillId="4" borderId="0" xfId="0" applyNumberFormat="1" applyFont="1" applyFill="1" applyBorder="1" applyAlignment="1">
      <alignment horizontal="center" vertical="center"/>
    </xf>
    <xf numFmtId="231" fontId="64" fillId="4" borderId="0" xfId="0" applyNumberFormat="1" applyFont="1" applyFill="1" applyBorder="1" applyAlignment="1">
      <alignment horizontal="center" vertical="center"/>
    </xf>
    <xf numFmtId="4" fontId="64" fillId="4" borderId="0" xfId="0" applyNumberFormat="1" applyFont="1" applyFill="1" applyBorder="1" applyAlignment="1">
      <alignment horizontal="center" vertical="center"/>
    </xf>
    <xf numFmtId="0" fontId="65" fillId="0" borderId="0" xfId="0"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top" wrapText="1"/>
    </xf>
    <xf numFmtId="0" fontId="64" fillId="11" borderId="0" xfId="3" applyNumberFormat="1" applyFont="1" applyFill="1" applyBorder="1" applyAlignment="1">
      <alignment horizontal="center" vertical="center" wrapText="1"/>
    </xf>
    <xf numFmtId="3" fontId="66" fillId="0" borderId="0" xfId="0" applyNumberFormat="1" applyFont="1" applyFill="1" applyBorder="1" applyAlignment="1">
      <alignment horizontal="center" vertical="center"/>
    </xf>
    <xf numFmtId="181" fontId="66" fillId="0" borderId="0" xfId="0" applyNumberFormat="1" applyFont="1" applyFill="1" applyBorder="1" applyAlignment="1">
      <alignment horizontal="center" vertical="center"/>
    </xf>
    <xf numFmtId="171" fontId="66" fillId="0" borderId="0" xfId="0" applyNumberFormat="1" applyFont="1" applyFill="1" applyBorder="1" applyAlignment="1">
      <alignment horizontal="center" vertical="center"/>
    </xf>
    <xf numFmtId="233" fontId="64" fillId="11" borderId="0" xfId="0" applyNumberFormat="1" applyFont="1" applyFill="1" applyBorder="1" applyAlignment="1">
      <alignment horizontal="center" vertical="center"/>
    </xf>
    <xf numFmtId="184" fontId="94" fillId="0" borderId="0" xfId="0" applyNumberFormat="1" applyFont="1" applyFill="1" applyBorder="1" applyAlignment="1">
      <alignment vertical="center" wrapText="1"/>
    </xf>
    <xf numFmtId="3" fontId="64" fillId="11" borderId="0" xfId="0" applyNumberFormat="1" applyFont="1" applyFill="1" applyBorder="1" applyAlignment="1">
      <alignment horizontal="center" vertical="center"/>
    </xf>
    <xf numFmtId="0" fontId="65" fillId="0" borderId="0" xfId="0" applyFont="1" applyBorder="1" applyAlignment="1">
      <alignment vertical="center"/>
    </xf>
    <xf numFmtId="3" fontId="64" fillId="11" borderId="0" xfId="0" applyNumberFormat="1" applyFont="1" applyFill="1" applyBorder="1" applyAlignment="1">
      <alignment horizontal="center" vertical="center" wrapText="1"/>
    </xf>
    <xf numFmtId="166" fontId="64" fillId="11" borderId="0" xfId="0" applyNumberFormat="1" applyFont="1" applyFill="1" applyBorder="1" applyAlignment="1">
      <alignment horizontal="center" vertical="center"/>
    </xf>
    <xf numFmtId="164" fontId="64" fillId="11" borderId="0" xfId="3" applyNumberFormat="1" applyFont="1" applyFill="1" applyBorder="1" applyAlignment="1">
      <alignment horizontal="center" vertical="center"/>
    </xf>
    <xf numFmtId="10" fontId="64" fillId="11" borderId="0" xfId="3" applyNumberFormat="1" applyFont="1" applyFill="1" applyBorder="1" applyAlignment="1">
      <alignment horizontal="center" vertical="center"/>
    </xf>
    <xf numFmtId="182" fontId="65" fillId="0" borderId="75" xfId="3" applyNumberFormat="1" applyFont="1" applyFill="1" applyBorder="1" applyAlignment="1">
      <alignment horizontal="center" vertical="center" wrapText="1"/>
    </xf>
    <xf numFmtId="0" fontId="65" fillId="0" borderId="79" xfId="3" applyNumberFormat="1" applyFont="1" applyFill="1" applyBorder="1" applyAlignment="1">
      <alignment horizontal="center" vertical="center" wrapText="1"/>
    </xf>
    <xf numFmtId="0" fontId="65" fillId="0" borderId="75" xfId="3" applyNumberFormat="1" applyFont="1" applyFill="1" applyBorder="1" applyAlignment="1">
      <alignment horizontal="center" vertical="center" wrapText="1"/>
    </xf>
    <xf numFmtId="0" fontId="65" fillId="0" borderId="0" xfId="0" applyFont="1" applyFill="1" applyAlignment="1">
      <alignment vertical="top"/>
    </xf>
    <xf numFmtId="0" fontId="64" fillId="0" borderId="0" xfId="3" applyNumberFormat="1" applyFont="1" applyFill="1" applyBorder="1" applyAlignment="1">
      <alignment horizontal="left" vertical="top" wrapText="1"/>
    </xf>
    <xf numFmtId="0" fontId="65" fillId="0" borderId="0" xfId="0" applyFont="1" applyFill="1"/>
    <xf numFmtId="0" fontId="64" fillId="0" borderId="0" xfId="0" applyFont="1" applyFill="1" applyBorder="1" applyAlignment="1">
      <alignment vertical="top" wrapText="1"/>
    </xf>
    <xf numFmtId="14" fontId="64" fillId="0" borderId="0" xfId="0" applyNumberFormat="1" applyFont="1" applyFill="1" applyBorder="1" applyAlignment="1">
      <alignment vertical="top" wrapText="1"/>
    </xf>
    <xf numFmtId="9" fontId="89" fillId="48" borderId="19" xfId="3" applyFont="1" applyFill="1" applyBorder="1" applyAlignment="1">
      <alignment horizontal="center" vertical="center" wrapText="1"/>
    </xf>
    <xf numFmtId="3" fontId="64" fillId="4" borderId="0" xfId="0" applyNumberFormat="1" applyFont="1" applyFill="1" applyBorder="1" applyAlignment="1">
      <alignment horizontal="left" vertical="top"/>
    </xf>
    <xf numFmtId="232" fontId="64" fillId="11" borderId="0" xfId="0" applyNumberFormat="1" applyFont="1" applyFill="1" applyBorder="1" applyAlignment="1">
      <alignment horizontal="center" vertical="center" wrapText="1"/>
    </xf>
    <xf numFmtId="0" fontId="65" fillId="0" borderId="0" xfId="0" applyFont="1" applyFill="1" applyBorder="1" applyAlignment="1">
      <alignment vertical="top"/>
    </xf>
    <xf numFmtId="3" fontId="89" fillId="0" borderId="19" xfId="2404" applyNumberFormat="1" applyFont="1" applyFill="1" applyBorder="1" applyAlignment="1">
      <alignment horizontal="center" vertical="center" wrapText="1"/>
    </xf>
    <xf numFmtId="164" fontId="64" fillId="4" borderId="0" xfId="3" applyNumberFormat="1" applyFont="1" applyFill="1" applyBorder="1" applyAlignment="1">
      <alignment horizontal="center" vertical="center"/>
    </xf>
    <xf numFmtId="0" fontId="65" fillId="0" borderId="0" xfId="0" applyFont="1" applyFill="1" applyAlignment="1">
      <alignment vertical="center" wrapText="1"/>
    </xf>
    <xf numFmtId="192" fontId="64" fillId="0" borderId="0" xfId="3" applyNumberFormat="1" applyFont="1" applyFill="1" applyBorder="1" applyAlignment="1">
      <alignment vertical="center"/>
    </xf>
    <xf numFmtId="0" fontId="101" fillId="0" borderId="0" xfId="0" applyFont="1" applyFill="1" applyBorder="1"/>
    <xf numFmtId="3" fontId="64" fillId="0" borderId="0" xfId="0" applyNumberFormat="1" applyFont="1" applyFill="1" applyBorder="1" applyAlignment="1">
      <alignment horizontal="left" vertical="top"/>
    </xf>
    <xf numFmtId="0" fontId="67" fillId="0" borderId="0" xfId="0" applyFont="1" applyFill="1" applyBorder="1" applyAlignment="1">
      <alignment horizontal="center" vertical="center"/>
    </xf>
    <xf numFmtId="0" fontId="61" fillId="0" borderId="0" xfId="0" applyFont="1" applyFill="1" applyBorder="1"/>
    <xf numFmtId="3" fontId="64" fillId="4" borderId="80" xfId="0" applyNumberFormat="1" applyFont="1" applyFill="1" applyBorder="1" applyAlignment="1">
      <alignment horizontal="left" vertical="top"/>
    </xf>
    <xf numFmtId="0" fontId="92" fillId="0" borderId="0" xfId="2399" applyFont="1" applyFill="1" applyAlignment="1">
      <alignment horizontal="center"/>
    </xf>
    <xf numFmtId="221" fontId="108" fillId="0" borderId="2" xfId="0" applyNumberFormat="1" applyFont="1" applyFill="1" applyBorder="1" applyAlignment="1">
      <alignment horizontal="center" vertical="center" wrapText="1"/>
    </xf>
    <xf numFmtId="4" fontId="92" fillId="0" borderId="0" xfId="2399" applyNumberFormat="1" applyFont="1" applyFill="1" applyAlignment="1">
      <alignment horizontal="center"/>
    </xf>
    <xf numFmtId="0" fontId="106" fillId="0" borderId="0" xfId="2399" applyFont="1" applyFill="1"/>
    <xf numFmtId="221" fontId="92" fillId="0" borderId="0" xfId="2399" applyNumberFormat="1" applyFont="1" applyFill="1" applyAlignment="1">
      <alignment horizontal="center"/>
    </xf>
    <xf numFmtId="0" fontId="107" fillId="59" borderId="0" xfId="0" applyNumberFormat="1" applyFont="1" applyFill="1" applyBorder="1" applyAlignment="1">
      <alignment horizontal="center" vertical="center" wrapText="1"/>
    </xf>
    <xf numFmtId="221" fontId="108" fillId="60" borderId="2" xfId="0" applyNumberFormat="1" applyFont="1" applyFill="1" applyBorder="1" applyAlignment="1">
      <alignment horizontal="center" vertical="center" wrapText="1"/>
    </xf>
    <xf numFmtId="221" fontId="107" fillId="59" borderId="2" xfId="2399" applyNumberFormat="1" applyFont="1" applyFill="1" applyBorder="1" applyAlignment="1">
      <alignment horizontal="center"/>
    </xf>
    <xf numFmtId="0" fontId="65" fillId="0" borderId="0" xfId="0" applyFont="1" applyAlignment="1">
      <alignment vertical="center" wrapText="1"/>
    </xf>
    <xf numFmtId="0" fontId="58" fillId="0" borderId="0" xfId="0" applyFont="1" applyAlignment="1">
      <alignment vertical="center" wrapText="1"/>
    </xf>
    <xf numFmtId="3" fontId="64" fillId="4" borderId="0" xfId="0" applyNumberFormat="1" applyFont="1" applyFill="1" applyBorder="1" applyAlignment="1">
      <alignment horizontal="left" vertical="center"/>
    </xf>
    <xf numFmtId="10" fontId="90" fillId="16" borderId="19" xfId="3" applyNumberFormat="1" applyFont="1" applyFill="1" applyBorder="1" applyAlignment="1">
      <alignment horizontal="center" vertical="center" wrapText="1"/>
    </xf>
    <xf numFmtId="3" fontId="64" fillId="4" borderId="81" xfId="0" applyNumberFormat="1" applyFont="1" applyFill="1" applyBorder="1" applyAlignment="1">
      <alignment horizontal="left" vertical="center"/>
    </xf>
    <xf numFmtId="3" fontId="64" fillId="4" borderId="68" xfId="0" applyNumberFormat="1" applyFont="1" applyFill="1" applyBorder="1" applyAlignment="1">
      <alignment horizontal="left" vertical="center"/>
    </xf>
    <xf numFmtId="3" fontId="64" fillId="4" borderId="82" xfId="0" applyNumberFormat="1" applyFont="1" applyFill="1" applyBorder="1" applyAlignment="1">
      <alignment horizontal="left" vertical="center"/>
    </xf>
    <xf numFmtId="0" fontId="65" fillId="0" borderId="0" xfId="3" applyNumberFormat="1" applyFont="1" applyFill="1" applyBorder="1" applyAlignment="1">
      <alignment vertical="top" wrapText="1"/>
    </xf>
    <xf numFmtId="3" fontId="64" fillId="4" borderId="82" xfId="0" applyNumberFormat="1" applyFont="1" applyFill="1" applyBorder="1" applyAlignment="1">
      <alignment horizontal="left" vertical="top"/>
    </xf>
    <xf numFmtId="218" fontId="58" fillId="0" borderId="0" xfId="0" applyNumberFormat="1" applyFont="1"/>
    <xf numFmtId="0" fontId="92" fillId="0" borderId="70" xfId="2404" applyFont="1" applyBorder="1" applyAlignment="1">
      <alignment vertical="center" wrapText="1"/>
    </xf>
    <xf numFmtId="10" fontId="92" fillId="0" borderId="2" xfId="2404" applyNumberFormat="1" applyFont="1" applyBorder="1" applyAlignment="1">
      <alignment vertical="center" wrapText="1"/>
    </xf>
    <xf numFmtId="192" fontId="92" fillId="0" borderId="2" xfId="2404" applyNumberFormat="1" applyFont="1" applyBorder="1" applyAlignment="1">
      <alignment vertical="center" wrapText="1"/>
    </xf>
    <xf numFmtId="0" fontId="87" fillId="0" borderId="0" xfId="0" applyFont="1" applyAlignment="1">
      <alignment horizontal="left" vertical="center" wrapText="1"/>
    </xf>
    <xf numFmtId="182" fontId="65" fillId="0" borderId="83" xfId="3" applyNumberFormat="1" applyFont="1" applyFill="1" applyBorder="1" applyAlignment="1">
      <alignment horizontal="center" vertical="center" wrapText="1"/>
    </xf>
    <xf numFmtId="182" fontId="65" fillId="0" borderId="84" xfId="3" applyNumberFormat="1" applyFont="1" applyFill="1" applyBorder="1" applyAlignment="1">
      <alignment horizontal="center" vertical="center" wrapText="1"/>
    </xf>
    <xf numFmtId="182" fontId="65" fillId="0" borderId="85" xfId="3" applyNumberFormat="1" applyFont="1" applyFill="1" applyBorder="1" applyAlignment="1">
      <alignment horizontal="center" vertical="center" wrapText="1"/>
    </xf>
    <xf numFmtId="182" fontId="65" fillId="0" borderId="86" xfId="3" applyNumberFormat="1" applyFont="1" applyFill="1" applyBorder="1" applyAlignment="1">
      <alignment horizontal="center" vertical="center" wrapText="1"/>
    </xf>
    <xf numFmtId="182" fontId="65" fillId="0" borderId="87" xfId="3" applyNumberFormat="1" applyFont="1" applyFill="1" applyBorder="1" applyAlignment="1">
      <alignment horizontal="center" vertical="center" wrapText="1"/>
    </xf>
    <xf numFmtId="182" fontId="65" fillId="0" borderId="88" xfId="3" applyNumberFormat="1" applyFont="1" applyFill="1" applyBorder="1" applyAlignment="1">
      <alignment horizontal="center" vertical="center" wrapText="1"/>
    </xf>
    <xf numFmtId="182" fontId="65" fillId="0" borderId="89" xfId="3" applyNumberFormat="1" applyFont="1" applyFill="1" applyBorder="1" applyAlignment="1">
      <alignment horizontal="center" vertical="center" wrapText="1"/>
    </xf>
    <xf numFmtId="182" fontId="65" fillId="0" borderId="91" xfId="3" applyNumberFormat="1" applyFont="1" applyFill="1" applyBorder="1" applyAlignment="1">
      <alignment horizontal="center" vertical="center" wrapText="1"/>
    </xf>
    <xf numFmtId="0" fontId="58" fillId="0" borderId="91" xfId="0" applyFont="1" applyFill="1" applyBorder="1"/>
    <xf numFmtId="0" fontId="63" fillId="0" borderId="91" xfId="0" applyFont="1" applyFill="1" applyBorder="1" applyAlignment="1">
      <alignment vertical="center"/>
    </xf>
    <xf numFmtId="0" fontId="65" fillId="0" borderId="94" xfId="0" applyFont="1" applyFill="1" applyBorder="1" applyAlignment="1">
      <alignment vertical="center"/>
    </xf>
    <xf numFmtId="0" fontId="65" fillId="0" borderId="90" xfId="0" applyFont="1" applyFill="1" applyBorder="1" applyAlignment="1">
      <alignment vertical="center"/>
    </xf>
    <xf numFmtId="214" fontId="65" fillId="0" borderId="0" xfId="0" applyNumberFormat="1" applyFont="1"/>
    <xf numFmtId="214" fontId="65" fillId="0" borderId="0" xfId="0" applyNumberFormat="1" applyFont="1" applyAlignment="1">
      <alignment horizontal="right"/>
    </xf>
    <xf numFmtId="49" fontId="64" fillId="11" borderId="0" xfId="3" applyNumberFormat="1" applyFont="1" applyFill="1" applyBorder="1" applyAlignment="1">
      <alignment horizontal="center" vertical="center"/>
    </xf>
    <xf numFmtId="238" fontId="64" fillId="11" borderId="0" xfId="3" applyNumberFormat="1" applyFont="1" applyFill="1" applyBorder="1" applyAlignment="1">
      <alignment horizontal="center" vertical="center"/>
    </xf>
    <xf numFmtId="0" fontId="119" fillId="0" borderId="0" xfId="0" applyFont="1" applyAlignment="1">
      <alignment horizontal="left" vertical="center"/>
    </xf>
    <xf numFmtId="0" fontId="97" fillId="59" borderId="19" xfId="2404" applyNumberFormat="1" applyFont="1" applyFill="1" applyBorder="1" applyAlignment="1">
      <alignment horizontal="center" vertical="center" wrapText="1"/>
    </xf>
    <xf numFmtId="0" fontId="90" fillId="0" borderId="70" xfId="2404" applyFont="1" applyFill="1" applyBorder="1" applyAlignment="1">
      <alignment horizontal="center" vertical="center" wrapText="1"/>
    </xf>
    <xf numFmtId="2" fontId="92" fillId="0" borderId="70" xfId="2404" applyNumberFormat="1" applyFont="1" applyBorder="1" applyAlignment="1">
      <alignment vertical="center" wrapText="1"/>
    </xf>
    <xf numFmtId="49" fontId="64" fillId="4" borderId="0" xfId="0" applyNumberFormat="1" applyFont="1" applyFill="1" applyBorder="1" applyAlignment="1">
      <alignment horizontal="center" vertical="center" wrapText="1"/>
    </xf>
    <xf numFmtId="0" fontId="90" fillId="0" borderId="95" xfId="2404" applyFont="1" applyFill="1" applyBorder="1" applyAlignment="1">
      <alignment horizontal="center" vertical="center" wrapText="1"/>
    </xf>
    <xf numFmtId="10" fontId="64" fillId="4" borderId="0" xfId="3" applyNumberFormat="1" applyFont="1" applyFill="1" applyBorder="1" applyAlignment="1">
      <alignment horizontal="center" vertical="center"/>
    </xf>
    <xf numFmtId="0" fontId="92" fillId="0" borderId="19" xfId="2404" applyFont="1" applyFill="1" applyBorder="1" applyAlignment="1">
      <alignment horizontal="center" vertical="center" wrapText="1"/>
    </xf>
    <xf numFmtId="0" fontId="96" fillId="49" borderId="65" xfId="2404" applyFont="1" applyFill="1" applyBorder="1" applyAlignment="1">
      <alignment horizontal="center" vertical="center" wrapText="1"/>
    </xf>
    <xf numFmtId="0" fontId="97" fillId="59" borderId="96" xfId="2404" applyNumberFormat="1" applyFont="1" applyFill="1" applyBorder="1" applyAlignment="1">
      <alignment horizontal="center" vertical="center" wrapText="1"/>
    </xf>
    <xf numFmtId="0" fontId="90" fillId="0" borderId="97" xfId="2404" applyFont="1" applyFill="1" applyBorder="1" applyAlignment="1">
      <alignment horizontal="center" vertical="center" wrapText="1"/>
    </xf>
    <xf numFmtId="0" fontId="96" fillId="49" borderId="2" xfId="2404" applyFont="1" applyFill="1" applyBorder="1" applyAlignment="1">
      <alignment horizontal="center" vertical="center" wrapText="1"/>
    </xf>
    <xf numFmtId="0" fontId="97" fillId="59" borderId="2" xfId="2404" applyNumberFormat="1" applyFont="1" applyFill="1" applyBorder="1" applyAlignment="1">
      <alignment horizontal="center" vertical="center" wrapText="1"/>
    </xf>
    <xf numFmtId="1" fontId="90" fillId="0" borderId="2" xfId="2404" applyNumberFormat="1" applyFont="1" applyFill="1" applyBorder="1" applyAlignment="1">
      <alignment horizontal="center" vertical="center" wrapText="1"/>
    </xf>
    <xf numFmtId="239" fontId="90" fillId="3" borderId="19" xfId="2404" applyNumberFormat="1" applyFont="1" applyFill="1" applyBorder="1" applyAlignment="1">
      <alignment horizontal="center" vertical="center" wrapText="1"/>
    </xf>
    <xf numFmtId="237" fontId="64" fillId="11" borderId="0" xfId="3" applyNumberFormat="1" applyFont="1" applyFill="1" applyBorder="1" applyAlignment="1">
      <alignment horizontal="center" vertical="center" wrapText="1"/>
    </xf>
    <xf numFmtId="0" fontId="63" fillId="4" borderId="0" xfId="0" applyFont="1" applyFill="1" applyBorder="1" applyAlignment="1">
      <alignment horizontal="center" vertical="center"/>
    </xf>
    <xf numFmtId="0" fontId="63" fillId="11" borderId="0" xfId="0" applyFont="1" applyFill="1" applyBorder="1" applyAlignment="1">
      <alignment horizontal="center" vertical="center"/>
    </xf>
    <xf numFmtId="0" fontId="63" fillId="11" borderId="17" xfId="0" applyFont="1" applyFill="1" applyBorder="1" applyAlignment="1">
      <alignment horizontal="center" vertical="center"/>
    </xf>
    <xf numFmtId="0" fontId="58" fillId="0" borderId="94" xfId="0" applyFont="1" applyBorder="1"/>
    <xf numFmtId="0" fontId="90" fillId="61" borderId="2" xfId="2404" applyFont="1" applyFill="1" applyBorder="1" applyAlignment="1">
      <alignment horizontal="center" vertical="center" wrapText="1"/>
    </xf>
    <xf numFmtId="227" fontId="90" fillId="0" borderId="2" xfId="2404" applyNumberFormat="1" applyFont="1" applyFill="1" applyBorder="1" applyAlignment="1">
      <alignment horizontal="center" vertical="center" wrapText="1"/>
    </xf>
    <xf numFmtId="0" fontId="89" fillId="58" borderId="19" xfId="2404" applyFont="1" applyFill="1" applyBorder="1" applyAlignment="1">
      <alignment horizontal="center" vertical="center" wrapText="1"/>
    </xf>
    <xf numFmtId="0" fontId="106" fillId="0" borderId="2" xfId="2399" applyFont="1" applyBorder="1" applyAlignment="1">
      <alignment horizontal="center" vertical="center"/>
    </xf>
    <xf numFmtId="2" fontId="90" fillId="0" borderId="0" xfId="2404" applyNumberFormat="1" applyFont="1" applyAlignment="1">
      <alignment vertical="center" wrapText="1"/>
    </xf>
    <xf numFmtId="0" fontId="95" fillId="11" borderId="19" xfId="2404" applyNumberFormat="1" applyFont="1" applyFill="1" applyBorder="1" applyAlignment="1">
      <alignment horizontal="center" vertical="center" wrapText="1"/>
    </xf>
    <xf numFmtId="0" fontId="95" fillId="15" borderId="19" xfId="2404" applyNumberFormat="1" applyFont="1" applyFill="1" applyBorder="1" applyAlignment="1">
      <alignment horizontal="center" vertical="center" wrapText="1"/>
    </xf>
    <xf numFmtId="2" fontId="95" fillId="15" borderId="19" xfId="2404" applyNumberFormat="1" applyFont="1" applyFill="1" applyBorder="1" applyAlignment="1">
      <alignment horizontal="center" vertical="center" wrapText="1"/>
    </xf>
    <xf numFmtId="0" fontId="95" fillId="15" borderId="59" xfId="2404" applyNumberFormat="1" applyFont="1" applyFill="1" applyBorder="1" applyAlignment="1">
      <alignment horizontal="center" vertical="center" wrapText="1"/>
    </xf>
    <xf numFmtId="0" fontId="90" fillId="3" borderId="19" xfId="2404" applyFont="1" applyFill="1" applyBorder="1" applyAlignment="1">
      <alignment vertical="center" wrapText="1"/>
    </xf>
    <xf numFmtId="2" fontId="90" fillId="3" borderId="19" xfId="2404" applyNumberFormat="1" applyFont="1" applyFill="1" applyBorder="1" applyAlignment="1">
      <alignment vertical="center" wrapText="1"/>
    </xf>
    <xf numFmtId="220" fontId="90" fillId="3" borderId="59" xfId="2404" applyNumberFormat="1" applyFont="1" applyFill="1" applyBorder="1" applyAlignment="1">
      <alignment vertical="center" wrapText="1"/>
    </xf>
    <xf numFmtId="192" fontId="90" fillId="3" borderId="19" xfId="2404" applyNumberFormat="1" applyFont="1" applyFill="1" applyBorder="1" applyAlignment="1">
      <alignment vertical="center" wrapText="1"/>
    </xf>
    <xf numFmtId="0" fontId="90" fillId="3" borderId="70" xfId="2404" applyFont="1" applyFill="1" applyBorder="1" applyAlignment="1">
      <alignment vertical="center" wrapText="1"/>
    </xf>
    <xf numFmtId="0" fontId="90" fillId="0" borderId="70" xfId="2404" applyFont="1" applyBorder="1" applyAlignment="1">
      <alignment vertical="center" wrapText="1"/>
    </xf>
    <xf numFmtId="0" fontId="90" fillId="3" borderId="2" xfId="2404" applyFont="1" applyFill="1" applyBorder="1" applyAlignment="1">
      <alignment vertical="center" wrapText="1"/>
    </xf>
    <xf numFmtId="0" fontId="90" fillId="0" borderId="19" xfId="2404" applyFont="1" applyFill="1" applyBorder="1" applyAlignment="1">
      <alignment vertical="center" wrapText="1"/>
    </xf>
    <xf numFmtId="2" fontId="90" fillId="0" borderId="19" xfId="2404" applyNumberFormat="1" applyFont="1" applyFill="1" applyBorder="1" applyAlignment="1">
      <alignment vertical="center" wrapText="1"/>
    </xf>
    <xf numFmtId="14" fontId="90" fillId="3" borderId="19" xfId="2404" applyNumberFormat="1" applyFont="1" applyFill="1" applyBorder="1" applyAlignment="1">
      <alignment horizontal="center" vertical="center" wrapText="1"/>
    </xf>
    <xf numFmtId="14" fontId="90" fillId="3" borderId="19" xfId="2404" applyNumberFormat="1" applyFont="1" applyFill="1" applyBorder="1" applyAlignment="1">
      <alignment vertical="center" wrapText="1"/>
    </xf>
    <xf numFmtId="14" fontId="90" fillId="3" borderId="59" xfId="2404" applyNumberFormat="1" applyFont="1" applyFill="1" applyBorder="1" applyAlignment="1">
      <alignment vertical="center" wrapText="1"/>
    </xf>
    <xf numFmtId="234" fontId="64" fillId="11" borderId="0" xfId="0" applyNumberFormat="1" applyFont="1" applyFill="1" applyBorder="1" applyAlignment="1">
      <alignment horizontal="center" vertical="center" wrapText="1"/>
    </xf>
    <xf numFmtId="1" fontId="89" fillId="0" borderId="2" xfId="2404" applyNumberFormat="1" applyFont="1" applyFill="1" applyBorder="1" applyAlignment="1">
      <alignment horizontal="center" vertical="center" wrapText="1"/>
    </xf>
    <xf numFmtId="10" fontId="89" fillId="0" borderId="2" xfId="3" applyNumberFormat="1" applyFont="1" applyFill="1" applyBorder="1" applyAlignment="1">
      <alignment horizontal="center" vertical="center" wrapText="1"/>
    </xf>
    <xf numFmtId="0" fontId="0" fillId="0" borderId="2" xfId="0" applyFill="1" applyBorder="1"/>
    <xf numFmtId="0" fontId="24" fillId="0" borderId="2" xfId="0" applyFont="1" applyFill="1" applyBorder="1"/>
    <xf numFmtId="0" fontId="24" fillId="0" borderId="2" xfId="0" applyFont="1" applyFill="1" applyBorder="1" applyAlignment="1">
      <alignment wrapText="1"/>
    </xf>
    <xf numFmtId="9" fontId="0" fillId="0" borderId="2" xfId="0" applyNumberFormat="1" applyFill="1" applyBorder="1"/>
    <xf numFmtId="9" fontId="24" fillId="0" borderId="2" xfId="0" applyNumberFormat="1" applyFont="1" applyFill="1" applyBorder="1"/>
    <xf numFmtId="0" fontId="0" fillId="0" borderId="2" xfId="0" applyFont="1" applyFill="1" applyBorder="1"/>
    <xf numFmtId="0" fontId="65" fillId="0" borderId="92" xfId="3" applyNumberFormat="1" applyFont="1" applyFill="1" applyBorder="1" applyAlignment="1">
      <alignment horizontal="center" vertical="center" wrapText="1"/>
    </xf>
    <xf numFmtId="0" fontId="63" fillId="4" borderId="0" xfId="0" applyFont="1" applyFill="1" applyBorder="1" applyAlignment="1">
      <alignment horizontal="center" vertical="center"/>
    </xf>
    <xf numFmtId="0" fontId="65" fillId="0" borderId="0" xfId="0" applyFont="1" applyAlignment="1">
      <alignment vertical="center" wrapText="1"/>
    </xf>
    <xf numFmtId="214" fontId="64" fillId="4" borderId="0" xfId="3" applyNumberFormat="1" applyFont="1" applyFill="1" applyBorder="1" applyAlignment="1">
      <alignment horizontal="center" vertical="center"/>
    </xf>
    <xf numFmtId="14" fontId="64" fillId="4" borderId="0" xfId="0" applyNumberFormat="1" applyFont="1" applyFill="1" applyBorder="1" applyAlignment="1">
      <alignment horizontal="left" vertical="center"/>
    </xf>
    <xf numFmtId="9" fontId="64" fillId="4" borderId="0" xfId="0" applyNumberFormat="1" applyFont="1" applyFill="1" applyBorder="1" applyAlignment="1">
      <alignment horizontal="left" vertical="center"/>
    </xf>
    <xf numFmtId="0" fontId="64" fillId="4" borderId="0" xfId="0" applyNumberFormat="1" applyFont="1" applyFill="1" applyBorder="1" applyAlignment="1">
      <alignment horizontal="center" vertical="center" wrapText="1"/>
    </xf>
    <xf numFmtId="49" fontId="64" fillId="4" borderId="0" xfId="0" applyNumberFormat="1" applyFont="1" applyFill="1" applyBorder="1" applyAlignment="1">
      <alignment horizontal="left" vertical="center"/>
    </xf>
    <xf numFmtId="0" fontId="65" fillId="0" borderId="0" xfId="0" applyFont="1" applyFill="1" applyBorder="1" applyAlignment="1">
      <alignment vertical="center" wrapText="1"/>
    </xf>
    <xf numFmtId="0" fontId="58" fillId="0" borderId="0" xfId="0" applyFont="1" applyAlignment="1"/>
    <xf numFmtId="3" fontId="64" fillId="4" borderId="0" xfId="0" applyNumberFormat="1" applyFont="1" applyFill="1" applyBorder="1" applyAlignment="1">
      <alignment horizontal="center" vertical="top" wrapText="1"/>
    </xf>
    <xf numFmtId="0" fontId="63" fillId="4" borderId="64" xfId="0" applyFont="1" applyFill="1" applyBorder="1" applyAlignment="1">
      <alignment horizontal="center" vertical="center"/>
    </xf>
    <xf numFmtId="3" fontId="64" fillId="4" borderId="0" xfId="0" applyNumberFormat="1" applyFont="1" applyFill="1" applyBorder="1" applyAlignment="1">
      <alignment horizontal="left" vertical="center"/>
    </xf>
    <xf numFmtId="3" fontId="64" fillId="4" borderId="0" xfId="0" applyNumberFormat="1" applyFont="1" applyFill="1" applyBorder="1" applyAlignment="1">
      <alignment horizontal="left" vertical="center" wrapText="1"/>
    </xf>
    <xf numFmtId="4" fontId="64" fillId="4" borderId="0" xfId="0" applyNumberFormat="1" applyFont="1" applyFill="1" applyBorder="1" applyAlignment="1">
      <alignment horizontal="left" vertical="top" wrapText="1"/>
    </xf>
    <xf numFmtId="0" fontId="65" fillId="0" borderId="0" xfId="0" applyFont="1" applyFill="1" applyBorder="1" applyAlignment="1">
      <alignment horizontal="left" vertical="center" wrapText="1"/>
    </xf>
    <xf numFmtId="0" fontId="64" fillId="4" borderId="0" xfId="0" applyNumberFormat="1" applyFont="1" applyFill="1" applyBorder="1" applyAlignment="1">
      <alignment horizontal="left" vertical="center" wrapText="1"/>
    </xf>
    <xf numFmtId="0" fontId="65" fillId="0" borderId="0" xfId="0" applyFont="1" applyAlignment="1">
      <alignment horizontal="left" vertical="top" wrapText="1"/>
    </xf>
    <xf numFmtId="0" fontId="70" fillId="0" borderId="0" xfId="0" applyFont="1" applyFill="1" applyBorder="1" applyAlignment="1">
      <alignment horizontal="center" vertical="top" wrapText="1"/>
    </xf>
    <xf numFmtId="0" fontId="65" fillId="0" borderId="0" xfId="0" applyNumberFormat="1" applyFont="1" applyAlignment="1">
      <alignment vertical="top" wrapText="1"/>
    </xf>
    <xf numFmtId="0" fontId="113" fillId="0" borderId="0" xfId="0" applyFont="1" applyAlignment="1">
      <alignment horizontal="center" vertical="center"/>
    </xf>
    <xf numFmtId="0" fontId="65" fillId="0" borderId="92" xfId="3" applyNumberFormat="1" applyFont="1" applyFill="1" applyBorder="1" applyAlignment="1">
      <alignment vertical="top" wrapText="1"/>
    </xf>
    <xf numFmtId="0" fontId="65" fillId="0" borderId="93" xfId="3" applyNumberFormat="1" applyFont="1" applyFill="1" applyBorder="1" applyAlignment="1">
      <alignment vertical="top" wrapText="1"/>
    </xf>
    <xf numFmtId="0" fontId="63" fillId="11" borderId="0" xfId="0" applyFont="1" applyFill="1" applyBorder="1" applyAlignment="1">
      <alignment horizontal="center" vertical="center" wrapText="1"/>
    </xf>
    <xf numFmtId="0" fontId="63" fillId="11" borderId="0" xfId="0" applyFont="1" applyFill="1" applyBorder="1" applyAlignment="1">
      <alignment horizontal="center" vertical="center"/>
    </xf>
    <xf numFmtId="0" fontId="64" fillId="11" borderId="0" xfId="3" applyNumberFormat="1" applyFont="1" applyFill="1" applyBorder="1" applyAlignment="1">
      <alignment vertical="top" wrapText="1"/>
    </xf>
    <xf numFmtId="0" fontId="63" fillId="11" borderId="64" xfId="0" applyFont="1" applyFill="1" applyBorder="1" applyAlignment="1">
      <alignment horizontal="center" vertical="center"/>
    </xf>
    <xf numFmtId="0" fontId="65" fillId="0" borderId="0" xfId="0" applyFont="1" applyBorder="1" applyAlignment="1">
      <alignment vertical="top" wrapText="1"/>
    </xf>
    <xf numFmtId="49" fontId="65" fillId="0" borderId="0" xfId="0" applyNumberFormat="1" applyFont="1" applyAlignment="1">
      <alignment vertical="top" wrapText="1"/>
    </xf>
    <xf numFmtId="0" fontId="64" fillId="11" borderId="0" xfId="3" applyNumberFormat="1" applyFont="1" applyFill="1" applyBorder="1" applyAlignment="1">
      <alignment horizontal="left" vertical="center" wrapText="1"/>
    </xf>
    <xf numFmtId="0" fontId="64" fillId="11" borderId="0" xfId="0" applyNumberFormat="1" applyFont="1" applyFill="1" applyBorder="1" applyAlignment="1">
      <alignment horizontal="center"/>
    </xf>
    <xf numFmtId="0" fontId="65" fillId="0" borderId="0" xfId="0" applyFont="1" applyFill="1" applyBorder="1" applyAlignment="1">
      <alignment vertical="top" wrapText="1"/>
    </xf>
    <xf numFmtId="0" fontId="64" fillId="11" borderId="0" xfId="3" applyNumberFormat="1" applyFont="1" applyFill="1" applyBorder="1" applyAlignment="1">
      <alignment horizontal="left" vertical="top" wrapText="1"/>
    </xf>
    <xf numFmtId="214" fontId="64" fillId="11" borderId="0" xfId="3" applyNumberFormat="1" applyFont="1" applyFill="1" applyBorder="1" applyAlignment="1">
      <alignment horizontal="center" vertical="center"/>
    </xf>
    <xf numFmtId="182" fontId="65" fillId="0" borderId="76" xfId="3" applyNumberFormat="1" applyFont="1" applyFill="1" applyBorder="1" applyAlignment="1">
      <alignment horizontal="center" vertical="center" wrapText="1"/>
    </xf>
    <xf numFmtId="182" fontId="65" fillId="0" borderId="77" xfId="3" applyNumberFormat="1" applyFont="1" applyFill="1" applyBorder="1" applyAlignment="1">
      <alignment horizontal="center" vertical="center" wrapText="1"/>
    </xf>
    <xf numFmtId="0" fontId="65" fillId="0" borderId="76" xfId="3" applyNumberFormat="1" applyFont="1" applyFill="1" applyBorder="1" applyAlignment="1">
      <alignment horizontal="left" vertical="center" wrapText="1"/>
    </xf>
    <xf numFmtId="0" fontId="65" fillId="0" borderId="78" xfId="0" applyNumberFormat="1" applyFont="1" applyBorder="1" applyAlignment="1">
      <alignment horizontal="left" vertical="center" wrapText="1"/>
    </xf>
    <xf numFmtId="0" fontId="65" fillId="0" borderId="77" xfId="0" applyNumberFormat="1" applyFont="1" applyBorder="1" applyAlignment="1">
      <alignment horizontal="left" vertical="center" wrapText="1"/>
    </xf>
    <xf numFmtId="234" fontId="64" fillId="11" borderId="0" xfId="0" applyNumberFormat="1" applyFont="1" applyFill="1" applyBorder="1" applyAlignment="1">
      <alignment horizontal="center" vertical="top" wrapText="1"/>
    </xf>
    <xf numFmtId="0" fontId="70" fillId="0" borderId="0" xfId="0" applyFont="1" applyBorder="1" applyAlignment="1">
      <alignment horizontal="center" vertical="center"/>
    </xf>
    <xf numFmtId="0" fontId="64" fillId="11" borderId="0" xfId="3" applyNumberFormat="1" applyFont="1" applyFill="1" applyBorder="1" applyAlignment="1">
      <alignment horizontal="center" vertical="center" wrapText="1"/>
    </xf>
    <xf numFmtId="184" fontId="64" fillId="11" borderId="0" xfId="0" applyNumberFormat="1" applyFont="1" applyFill="1" applyBorder="1" applyAlignment="1">
      <alignment horizontal="center" vertical="top" wrapText="1"/>
    </xf>
    <xf numFmtId="0" fontId="64" fillId="11" borderId="0" xfId="0" applyFont="1" applyFill="1" applyBorder="1" applyAlignment="1">
      <alignment vertical="top" wrapText="1"/>
    </xf>
    <xf numFmtId="14" fontId="64" fillId="11" borderId="0" xfId="0" applyNumberFormat="1" applyFont="1" applyFill="1" applyBorder="1" applyAlignment="1">
      <alignment horizontal="left" vertical="center" wrapText="1"/>
    </xf>
    <xf numFmtId="14" fontId="64" fillId="11" borderId="0" xfId="0" applyNumberFormat="1" applyFont="1" applyFill="1" applyBorder="1" applyAlignment="1">
      <alignment horizontal="left" vertical="center"/>
    </xf>
    <xf numFmtId="0" fontId="64" fillId="11" borderId="0" xfId="0" applyNumberFormat="1" applyFont="1" applyFill="1" applyBorder="1" applyAlignment="1">
      <alignment horizontal="left" vertical="top"/>
    </xf>
    <xf numFmtId="0" fontId="64" fillId="11" borderId="0" xfId="0" applyFont="1" applyFill="1" applyBorder="1" applyAlignment="1">
      <alignment horizontal="left" vertical="top" wrapText="1"/>
    </xf>
    <xf numFmtId="0" fontId="98" fillId="7" borderId="22" xfId="2404" applyFont="1" applyFill="1" applyBorder="1" applyAlignment="1">
      <alignment horizontal="center" vertical="center" wrapText="1"/>
    </xf>
    <xf numFmtId="0" fontId="98" fillId="7" borderId="1" xfId="2404" applyFont="1" applyFill="1" applyBorder="1" applyAlignment="1">
      <alignment horizontal="center" vertical="center" wrapText="1"/>
    </xf>
    <xf numFmtId="0" fontId="28" fillId="54" borderId="23" xfId="0" applyFont="1" applyFill="1" applyBorder="1" applyAlignment="1">
      <alignment horizontal="center"/>
    </xf>
    <xf numFmtId="0" fontId="28" fillId="54" borderId="24" xfId="0" applyFont="1" applyFill="1" applyBorder="1" applyAlignment="1">
      <alignment horizontal="center"/>
    </xf>
    <xf numFmtId="0" fontId="28" fillId="54" borderId="25" xfId="0" applyFont="1" applyFill="1" applyBorder="1" applyAlignment="1">
      <alignment horizontal="center"/>
    </xf>
    <xf numFmtId="0" fontId="28" fillId="6" borderId="23" xfId="0" applyFont="1" applyFill="1" applyBorder="1" applyAlignment="1">
      <alignment horizontal="center"/>
    </xf>
    <xf numFmtId="0" fontId="28" fillId="6" borderId="24" xfId="0" applyFont="1" applyFill="1" applyBorder="1" applyAlignment="1">
      <alignment horizontal="center"/>
    </xf>
    <xf numFmtId="0" fontId="28" fillId="6" borderId="25" xfId="0" applyFont="1" applyFill="1" applyBorder="1" applyAlignment="1">
      <alignment horizontal="center"/>
    </xf>
    <xf numFmtId="0" fontId="28" fillId="51" borderId="23" xfId="0" applyFont="1" applyFill="1" applyBorder="1" applyAlignment="1">
      <alignment horizontal="center"/>
    </xf>
    <xf numFmtId="0" fontId="28" fillId="51" borderId="24" xfId="0" applyFont="1" applyFill="1" applyBorder="1" applyAlignment="1">
      <alignment horizontal="center"/>
    </xf>
    <xf numFmtId="0" fontId="28" fillId="51" borderId="25" xfId="0" applyFont="1" applyFill="1" applyBorder="1" applyAlignment="1">
      <alignment horizontal="center"/>
    </xf>
    <xf numFmtId="0" fontId="28" fillId="51" borderId="29" xfId="0" applyFont="1" applyFill="1" applyBorder="1" applyAlignment="1">
      <alignment horizontal="center"/>
    </xf>
    <xf numFmtId="0" fontId="28" fillId="51" borderId="30" xfId="0" applyFont="1" applyFill="1" applyBorder="1" applyAlignment="1">
      <alignment horizontal="center"/>
    </xf>
    <xf numFmtId="0" fontId="28" fillId="51" borderId="31" xfId="0" applyFont="1" applyFill="1" applyBorder="1" applyAlignment="1">
      <alignment horizontal="center"/>
    </xf>
  </cellXfs>
  <cellStyles count="7231">
    <cellStyle name="20 % - Accent1 2" xfId="183"/>
    <cellStyle name="20 % - Accent2 2" xfId="184"/>
    <cellStyle name="20 % - Accent3 2" xfId="185"/>
    <cellStyle name="20 % - Accent4 2" xfId="186"/>
    <cellStyle name="20 % - Accent5 2" xfId="187"/>
    <cellStyle name="20 % - Accent6 2" xfId="188"/>
    <cellStyle name="20% - Accent1" xfId="189"/>
    <cellStyle name="20% - Accent2" xfId="190"/>
    <cellStyle name="20% - Accent3" xfId="191"/>
    <cellStyle name="20% - Accent4" xfId="192"/>
    <cellStyle name="20% - Accent5" xfId="193"/>
    <cellStyle name="20% - Accent6" xfId="194"/>
    <cellStyle name="40 % - Accent1 2" xfId="195"/>
    <cellStyle name="40 % - Accent2 2" xfId="196"/>
    <cellStyle name="40 % - Accent3 2" xfId="197"/>
    <cellStyle name="40 % - Accent4 2" xfId="198"/>
    <cellStyle name="40 % - Accent5 2" xfId="199"/>
    <cellStyle name="40 % - Accent6 2" xfId="200"/>
    <cellStyle name="40% - Accent1" xfId="201"/>
    <cellStyle name="40% - Accent2" xfId="202"/>
    <cellStyle name="40% - Accent3" xfId="203"/>
    <cellStyle name="40% - Accent4" xfId="204"/>
    <cellStyle name="40% - Accent5" xfId="205"/>
    <cellStyle name="40% - Accent6" xfId="206"/>
    <cellStyle name="60 % - Accent1 2" xfId="207"/>
    <cellStyle name="60 % - Accent2 2" xfId="208"/>
    <cellStyle name="60 % - Accent3 2" xfId="209"/>
    <cellStyle name="60 % - Accent4 2" xfId="210"/>
    <cellStyle name="60 % - Accent5 2" xfId="211"/>
    <cellStyle name="60 % - Accent6 2" xfId="212"/>
    <cellStyle name="60% - Accent1" xfId="213"/>
    <cellStyle name="60% - Accent2" xfId="214"/>
    <cellStyle name="60% - Accent3" xfId="215"/>
    <cellStyle name="60% - Accent4" xfId="216"/>
    <cellStyle name="60% - Accent5" xfId="217"/>
    <cellStyle name="60% - Accent6" xfId="218"/>
    <cellStyle name="Accent1 2" xfId="219"/>
    <cellStyle name="Accent2 2" xfId="220"/>
    <cellStyle name="Accent3 2" xfId="221"/>
    <cellStyle name="Accent4 2" xfId="222"/>
    <cellStyle name="Accent5 2" xfId="223"/>
    <cellStyle name="Accent6 2" xfId="224"/>
    <cellStyle name="Années" xfId="2376"/>
    <cellStyle name="Article" xfId="2375"/>
    <cellStyle name="Avertissement 2" xfId="225"/>
    <cellStyle name="Bad" xfId="226"/>
    <cellStyle name="blanc" xfId="2200"/>
    <cellStyle name="c" xfId="2201"/>
    <cellStyle name="Calcul 2" xfId="227"/>
    <cellStyle name="Calcul 2 2" xfId="4614"/>
    <cellStyle name="Calcul 2 3" xfId="4608"/>
    <cellStyle name="Calcul 2 4" xfId="4624"/>
    <cellStyle name="Calcul 2 5" xfId="6847"/>
    <cellStyle name="Calcul 2 6" xfId="6831"/>
    <cellStyle name="Calcul 2 7" xfId="6821"/>
    <cellStyle name="Calcul 2 8" xfId="6855"/>
    <cellStyle name="Calculation" xfId="228"/>
    <cellStyle name="Calculation 2" xfId="4606"/>
    <cellStyle name="Calculation 3" xfId="4597"/>
    <cellStyle name="Calculation 4" xfId="4602"/>
    <cellStyle name="Calculation 5" xfId="6815"/>
    <cellStyle name="Calculation 6" xfId="6837"/>
    <cellStyle name="Calculation 7" xfId="6845"/>
    <cellStyle name="Calculation 8" xfId="6832"/>
    <cellStyle name="CalculsEntiers" xfId="2383"/>
    <cellStyle name="CalculsEntiersImportants" xfId="2395"/>
    <cellStyle name="CalculsEntiersMoyenne" xfId="2386"/>
    <cellStyle name="CalculsRéels" xfId="2379"/>
    <cellStyle name="CalculsRéelsMoyenne" xfId="1183"/>
    <cellStyle name="CalculsTaux" xfId="2377"/>
    <cellStyle name="CalculsTauxMoyenne" xfId="2392"/>
    <cellStyle name="Cellule liée 2" xfId="229"/>
    <cellStyle name="Check Cell" xfId="230"/>
    <cellStyle name="Commentaire 2" xfId="231"/>
    <cellStyle name="Commentaire 2 10" xfId="6824"/>
    <cellStyle name="Commentaire 2 2" xfId="2298"/>
    <cellStyle name="Commentaire 2 2 2" xfId="4625"/>
    <cellStyle name="Commentaire 2 2 3" xfId="4596"/>
    <cellStyle name="Commentaire 2 2 4" xfId="4616"/>
    <cellStyle name="Commentaire 2 2 5" xfId="6814"/>
    <cellStyle name="Commentaire 2 2 6" xfId="6851"/>
    <cellStyle name="Commentaire 2 2 7" xfId="6841"/>
    <cellStyle name="Commentaire 2 2 8" xfId="6842"/>
    <cellStyle name="Commentaire 2 3" xfId="2202"/>
    <cellStyle name="Commentaire 2 3 2" xfId="4611"/>
    <cellStyle name="Commentaire 2 3 3" xfId="4618"/>
    <cellStyle name="Commentaire 2 3 4" xfId="4626"/>
    <cellStyle name="Commentaire 2 3 5" xfId="6818"/>
    <cellStyle name="Commentaire 2 3 6" xfId="6823"/>
    <cellStyle name="Commentaire 2 3 7" xfId="6840"/>
    <cellStyle name="Commentaire 2 3 8" xfId="6751"/>
    <cellStyle name="Commentaire 2 4" xfId="4607"/>
    <cellStyle name="Commentaire 2 5" xfId="4605"/>
    <cellStyle name="Commentaire 2 6" xfId="4595"/>
    <cellStyle name="Commentaire 2 7" xfId="6839"/>
    <cellStyle name="Commentaire 2 8" xfId="6813"/>
    <cellStyle name="Commentaire 2 9" xfId="6797"/>
    <cellStyle name="Commentaire 3" xfId="232"/>
    <cellStyle name="Commentaire 3 10" xfId="7046"/>
    <cellStyle name="Commentaire 3 2" xfId="457"/>
    <cellStyle name="Commentaire 3 2 2" xfId="1370"/>
    <cellStyle name="Commentaire 3 2 2 2" xfId="3658"/>
    <cellStyle name="Commentaire 3 2 2 3" xfId="5878"/>
    <cellStyle name="Commentaire 3 2 3" xfId="2755"/>
    <cellStyle name="Commentaire 3 2 4" xfId="4975"/>
    <cellStyle name="Commentaire 3 3" xfId="647"/>
    <cellStyle name="Commentaire 3 3 2" xfId="1558"/>
    <cellStyle name="Commentaire 3 3 2 2" xfId="3846"/>
    <cellStyle name="Commentaire 3 3 2 3" xfId="6066"/>
    <cellStyle name="Commentaire 3 3 3" xfId="2943"/>
    <cellStyle name="Commentaire 3 3 4" xfId="5163"/>
    <cellStyle name="Commentaire 3 4" xfId="832"/>
    <cellStyle name="Commentaire 3 4 2" xfId="1743"/>
    <cellStyle name="Commentaire 3 4 2 2" xfId="4031"/>
    <cellStyle name="Commentaire 3 4 2 3" xfId="6251"/>
    <cellStyle name="Commentaire 3 4 3" xfId="3128"/>
    <cellStyle name="Commentaire 3 4 4" xfId="5348"/>
    <cellStyle name="Commentaire 3 5" xfId="2008"/>
    <cellStyle name="Commentaire 3 5 2" xfId="4293"/>
    <cellStyle name="Commentaire 3 5 3" xfId="6513"/>
    <cellStyle name="Commentaire 3 6" xfId="1182"/>
    <cellStyle name="Commentaire 3 6 2" xfId="3471"/>
    <cellStyle name="Commentaire 3 6 3" xfId="5691"/>
    <cellStyle name="Commentaire 3 7" xfId="2568"/>
    <cellStyle name="Commentaire 3 8" xfId="4788"/>
    <cellStyle name="Commentaire 3 9" xfId="6860"/>
    <cellStyle name="compta" xfId="2203"/>
    <cellStyle name="compta [G]" xfId="2204"/>
    <cellStyle name="compta_9722" xfId="2205"/>
    <cellStyle name="comptaBB" xfId="2206"/>
    <cellStyle name="contrat" xfId="2207"/>
    <cellStyle name="date" xfId="2208"/>
    <cellStyle name="Date AA" xfId="2209"/>
    <cellStyle name="date_Bud-SIVOM" xfId="2210"/>
    <cellStyle name="decimal 6" xfId="2211"/>
    <cellStyle name="DIAGO" xfId="2212"/>
    <cellStyle name="Entiers" xfId="177"/>
    <cellStyle name="Entiers 2" xfId="2295"/>
    <cellStyle name="Entrée 2" xfId="233"/>
    <cellStyle name="Entrée 2 2" xfId="4609"/>
    <cellStyle name="Entrée 2 3" xfId="4621"/>
    <cellStyle name="Entrée 2 4" xfId="4594"/>
    <cellStyle name="Entrée 2 5" xfId="6844"/>
    <cellStyle name="Entrée 2 6" xfId="6848"/>
    <cellStyle name="Entrée 2 7" xfId="6829"/>
    <cellStyle name="Entrée 2 8" xfId="6849"/>
    <cellStyle name="Euro" xfId="1"/>
    <cellStyle name="Euro 2" xfId="234"/>
    <cellStyle name="Euro 2 2" xfId="2299"/>
    <cellStyle name="Euro 2 3" xfId="2193"/>
    <cellStyle name="Euro 3" xfId="235"/>
    <cellStyle name="Euro 3 2" xfId="2382"/>
    <cellStyle name="Euro 3 3" xfId="2381"/>
    <cellStyle name="Euro 4" xfId="1960"/>
    <cellStyle name="Explanatory Text" xfId="236"/>
    <cellStyle name="Good" xfId="237"/>
    <cellStyle name="groupe" xfId="2213"/>
    <cellStyle name="Heading 1" xfId="238"/>
    <cellStyle name="Heading 2" xfId="239"/>
    <cellStyle name="Heading 3" xfId="240"/>
    <cellStyle name="Heading 4" xfId="241"/>
    <cellStyle name="Input" xfId="242"/>
    <cellStyle name="Input 2" xfId="4484"/>
    <cellStyle name="Input 3" xfId="4615"/>
    <cellStyle name="Input 4" xfId="4603"/>
    <cellStyle name="Input 5" xfId="6853"/>
    <cellStyle name="Input 6" xfId="6822"/>
    <cellStyle name="Input 7" xfId="6838"/>
    <cellStyle name="Input 8" xfId="6835"/>
    <cellStyle name="Insatisfaisant 2" xfId="243"/>
    <cellStyle name="Lien hypertexte 2" xfId="2194"/>
    <cellStyle name="Linked Cell" xfId="244"/>
    <cellStyle name="m" xfId="2214"/>
    <cellStyle name="Milliers" xfId="2" builtinId="3"/>
    <cellStyle name="Milliers [000000]" xfId="2215"/>
    <cellStyle name="Milliers 10" xfId="1018"/>
    <cellStyle name="Milliers 10 2" xfId="2216"/>
    <cellStyle name="Milliers 11" xfId="2217"/>
    <cellStyle name="Milliers 12" xfId="2218"/>
    <cellStyle name="Milliers 13" xfId="2219"/>
    <cellStyle name="Milliers 13 2" xfId="2274"/>
    <cellStyle name="Milliers 13 2 2" xfId="4495"/>
    <cellStyle name="Milliers 13 2 3" xfId="6714"/>
    <cellStyle name="Milliers 13 3" xfId="4479"/>
    <cellStyle name="Milliers 13 4" xfId="6699"/>
    <cellStyle name="Milliers 14" xfId="2220"/>
    <cellStyle name="Milliers 14 2" xfId="2275"/>
    <cellStyle name="Milliers 14 2 2" xfId="4496"/>
    <cellStyle name="Milliers 14 2 3" xfId="6715"/>
    <cellStyle name="Milliers 14 3" xfId="4480"/>
    <cellStyle name="Milliers 14 4" xfId="6700"/>
    <cellStyle name="Milliers 15" xfId="2221"/>
    <cellStyle name="Milliers 15 2" xfId="2276"/>
    <cellStyle name="Milliers 15 2 2" xfId="4497"/>
    <cellStyle name="Milliers 15 2 3" xfId="6716"/>
    <cellStyle name="Milliers 15 3" xfId="4481"/>
    <cellStyle name="Milliers 15 4" xfId="6701"/>
    <cellStyle name="Milliers 16" xfId="2222"/>
    <cellStyle name="Milliers 16 2" xfId="2277"/>
    <cellStyle name="Milliers 16 2 2" xfId="4498"/>
    <cellStyle name="Milliers 16 2 3" xfId="6717"/>
    <cellStyle name="Milliers 16 3" xfId="4482"/>
    <cellStyle name="Milliers 16 4" xfId="6702"/>
    <cellStyle name="Milliers 17" xfId="2223"/>
    <cellStyle name="Milliers 18" xfId="2195"/>
    <cellStyle name="Milliers 19" xfId="2268"/>
    <cellStyle name="Milliers 2" xfId="7"/>
    <cellStyle name="Milliers 2 10" xfId="245"/>
    <cellStyle name="Milliers 2 10 2" xfId="1955"/>
    <cellStyle name="Milliers 2 10 2 2" xfId="2300"/>
    <cellStyle name="Milliers 2 10 2 3" xfId="4242"/>
    <cellStyle name="Milliers 2 10 2 4" xfId="6462"/>
    <cellStyle name="Milliers 2 10 3" xfId="2224"/>
    <cellStyle name="Milliers 2 11" xfId="2271"/>
    <cellStyle name="Milliers 2 11 2" xfId="4492"/>
    <cellStyle name="Milliers 2 11 3" xfId="6711"/>
    <cellStyle name="Milliers 2 12" xfId="2287"/>
    <cellStyle name="Milliers 2 12 2" xfId="4505"/>
    <cellStyle name="Milliers 2 12 3" xfId="6724"/>
    <cellStyle name="Milliers 2 13" xfId="1022"/>
    <cellStyle name="Milliers 2 13 2" xfId="3316"/>
    <cellStyle name="Milliers 2 13 3" xfId="5536"/>
    <cellStyle name="Milliers 2 14" xfId="2394"/>
    <cellStyle name="Milliers 2 15" xfId="2413"/>
    <cellStyle name="Milliers 2 16" xfId="4629"/>
    <cellStyle name="Milliers 2 2" xfId="23"/>
    <cellStyle name="Milliers 2 2 10" xfId="648"/>
    <cellStyle name="Milliers 2 2 10 2" xfId="1559"/>
    <cellStyle name="Milliers 2 2 10 2 2" xfId="3847"/>
    <cellStyle name="Milliers 2 2 10 2 3" xfId="6067"/>
    <cellStyle name="Milliers 2 2 10 3" xfId="2944"/>
    <cellStyle name="Milliers 2 2 10 4" xfId="5164"/>
    <cellStyle name="Milliers 2 2 11" xfId="833"/>
    <cellStyle name="Milliers 2 2 11 2" xfId="1744"/>
    <cellStyle name="Milliers 2 2 11 2 2" xfId="4032"/>
    <cellStyle name="Milliers 2 2 11 2 3" xfId="6252"/>
    <cellStyle name="Milliers 2 2 11 3" xfId="3129"/>
    <cellStyle name="Milliers 2 2 11 4" xfId="5349"/>
    <cellStyle name="Milliers 2 2 12" xfId="2009"/>
    <cellStyle name="Milliers 2 2 12 2" xfId="4294"/>
    <cellStyle name="Milliers 2 2 12 3" xfId="6514"/>
    <cellStyle name="Milliers 2 2 13" xfId="1033"/>
    <cellStyle name="Milliers 2 2 13 2" xfId="3326"/>
    <cellStyle name="Milliers 2 2 13 3" xfId="5546"/>
    <cellStyle name="Milliers 2 2 14" xfId="2423"/>
    <cellStyle name="Milliers 2 2 15" xfId="4639"/>
    <cellStyle name="Milliers 2 2 16" xfId="6861"/>
    <cellStyle name="Milliers 2 2 17" xfId="7047"/>
    <cellStyle name="Milliers 2 2 2" xfId="35"/>
    <cellStyle name="Milliers 2 2 2 10" xfId="2434"/>
    <cellStyle name="Milliers 2 2 2 11" xfId="4651"/>
    <cellStyle name="Milliers 2 2 2 12" xfId="6862"/>
    <cellStyle name="Milliers 2 2 2 13" xfId="7048"/>
    <cellStyle name="Milliers 2 2 2 2" xfId="121"/>
    <cellStyle name="Milliers 2 2 2 2 10" xfId="4732"/>
    <cellStyle name="Milliers 2 2 2 2 11" xfId="6863"/>
    <cellStyle name="Milliers 2 2 2 2 12" xfId="7049"/>
    <cellStyle name="Milliers 2 2 2 2 2" xfId="249"/>
    <cellStyle name="Milliers 2 2 2 2 2 10" xfId="7050"/>
    <cellStyle name="Milliers 2 2 2 2 2 2" xfId="461"/>
    <cellStyle name="Milliers 2 2 2 2 2 2 2" xfId="1374"/>
    <cellStyle name="Milliers 2 2 2 2 2 2 2 2" xfId="3662"/>
    <cellStyle name="Milliers 2 2 2 2 2 2 2 3" xfId="5882"/>
    <cellStyle name="Milliers 2 2 2 2 2 2 3" xfId="2759"/>
    <cellStyle name="Milliers 2 2 2 2 2 2 4" xfId="4979"/>
    <cellStyle name="Milliers 2 2 2 2 2 3" xfId="651"/>
    <cellStyle name="Milliers 2 2 2 2 2 3 2" xfId="1562"/>
    <cellStyle name="Milliers 2 2 2 2 2 3 2 2" xfId="3850"/>
    <cellStyle name="Milliers 2 2 2 2 2 3 2 3" xfId="6070"/>
    <cellStyle name="Milliers 2 2 2 2 2 3 3" xfId="2947"/>
    <cellStyle name="Milliers 2 2 2 2 2 3 4" xfId="5167"/>
    <cellStyle name="Milliers 2 2 2 2 2 4" xfId="836"/>
    <cellStyle name="Milliers 2 2 2 2 2 4 2" xfId="1747"/>
    <cellStyle name="Milliers 2 2 2 2 2 4 2 2" xfId="4035"/>
    <cellStyle name="Milliers 2 2 2 2 2 4 2 3" xfId="6255"/>
    <cellStyle name="Milliers 2 2 2 2 2 4 3" xfId="3132"/>
    <cellStyle name="Milliers 2 2 2 2 2 4 4" xfId="5352"/>
    <cellStyle name="Milliers 2 2 2 2 2 5" xfId="2012"/>
    <cellStyle name="Milliers 2 2 2 2 2 5 2" xfId="4297"/>
    <cellStyle name="Milliers 2 2 2 2 2 5 3" xfId="6517"/>
    <cellStyle name="Milliers 2 2 2 2 2 6" xfId="1187"/>
    <cellStyle name="Milliers 2 2 2 2 2 6 2" xfId="3475"/>
    <cellStyle name="Milliers 2 2 2 2 2 6 3" xfId="5695"/>
    <cellStyle name="Milliers 2 2 2 2 2 7" xfId="2572"/>
    <cellStyle name="Milliers 2 2 2 2 2 8" xfId="4792"/>
    <cellStyle name="Milliers 2 2 2 2 2 9" xfId="6864"/>
    <cellStyle name="Milliers 2 2 2 2 3" xfId="248"/>
    <cellStyle name="Milliers 2 2 2 2 3 2" xfId="1186"/>
    <cellStyle name="Milliers 2 2 2 2 3 2 2" xfId="3474"/>
    <cellStyle name="Milliers 2 2 2 2 3 2 3" xfId="5694"/>
    <cellStyle name="Milliers 2 2 2 2 3 3" xfId="2571"/>
    <cellStyle name="Milliers 2 2 2 2 3 4" xfId="4791"/>
    <cellStyle name="Milliers 2 2 2 2 4" xfId="460"/>
    <cellStyle name="Milliers 2 2 2 2 4 2" xfId="1373"/>
    <cellStyle name="Milliers 2 2 2 2 4 2 2" xfId="3661"/>
    <cellStyle name="Milliers 2 2 2 2 4 2 3" xfId="5881"/>
    <cellStyle name="Milliers 2 2 2 2 4 3" xfId="2758"/>
    <cellStyle name="Milliers 2 2 2 2 4 4" xfId="4978"/>
    <cellStyle name="Milliers 2 2 2 2 5" xfId="650"/>
    <cellStyle name="Milliers 2 2 2 2 5 2" xfId="1561"/>
    <cellStyle name="Milliers 2 2 2 2 5 2 2" xfId="3849"/>
    <cellStyle name="Milliers 2 2 2 2 5 2 3" xfId="6069"/>
    <cellStyle name="Milliers 2 2 2 2 5 3" xfId="2946"/>
    <cellStyle name="Milliers 2 2 2 2 5 4" xfId="5166"/>
    <cellStyle name="Milliers 2 2 2 2 6" xfId="835"/>
    <cellStyle name="Milliers 2 2 2 2 6 2" xfId="1746"/>
    <cellStyle name="Milliers 2 2 2 2 6 2 2" xfId="4034"/>
    <cellStyle name="Milliers 2 2 2 2 6 2 3" xfId="6254"/>
    <cellStyle name="Milliers 2 2 2 2 6 3" xfId="3131"/>
    <cellStyle name="Milliers 2 2 2 2 6 4" xfId="5351"/>
    <cellStyle name="Milliers 2 2 2 2 7" xfId="2011"/>
    <cellStyle name="Milliers 2 2 2 2 7 2" xfId="4296"/>
    <cellStyle name="Milliers 2 2 2 2 7 3" xfId="6516"/>
    <cellStyle name="Milliers 2 2 2 2 8" xfId="1125"/>
    <cellStyle name="Milliers 2 2 2 2 8 2" xfId="3416"/>
    <cellStyle name="Milliers 2 2 2 2 8 3" xfId="5636"/>
    <cellStyle name="Milliers 2 2 2 2 9" xfId="2513"/>
    <cellStyle name="Milliers 2 2 2 3" xfId="250"/>
    <cellStyle name="Milliers 2 2 2 3 10" xfId="7051"/>
    <cellStyle name="Milliers 2 2 2 3 2" xfId="462"/>
    <cellStyle name="Milliers 2 2 2 3 2 2" xfId="1375"/>
    <cellStyle name="Milliers 2 2 2 3 2 2 2" xfId="3663"/>
    <cellStyle name="Milliers 2 2 2 3 2 2 3" xfId="5883"/>
    <cellStyle name="Milliers 2 2 2 3 2 3" xfId="2760"/>
    <cellStyle name="Milliers 2 2 2 3 2 4" xfId="4980"/>
    <cellStyle name="Milliers 2 2 2 3 3" xfId="652"/>
    <cellStyle name="Milliers 2 2 2 3 3 2" xfId="1563"/>
    <cellStyle name="Milliers 2 2 2 3 3 2 2" xfId="3851"/>
    <cellStyle name="Milliers 2 2 2 3 3 2 3" xfId="6071"/>
    <cellStyle name="Milliers 2 2 2 3 3 3" xfId="2948"/>
    <cellStyle name="Milliers 2 2 2 3 3 4" xfId="5168"/>
    <cellStyle name="Milliers 2 2 2 3 4" xfId="837"/>
    <cellStyle name="Milliers 2 2 2 3 4 2" xfId="1748"/>
    <cellStyle name="Milliers 2 2 2 3 4 2 2" xfId="4036"/>
    <cellStyle name="Milliers 2 2 2 3 4 2 3" xfId="6256"/>
    <cellStyle name="Milliers 2 2 2 3 4 3" xfId="3133"/>
    <cellStyle name="Milliers 2 2 2 3 4 4" xfId="5353"/>
    <cellStyle name="Milliers 2 2 2 3 5" xfId="2013"/>
    <cellStyle name="Milliers 2 2 2 3 5 2" xfId="4298"/>
    <cellStyle name="Milliers 2 2 2 3 5 3" xfId="6518"/>
    <cellStyle name="Milliers 2 2 2 3 6" xfId="1188"/>
    <cellStyle name="Milliers 2 2 2 3 6 2" xfId="3476"/>
    <cellStyle name="Milliers 2 2 2 3 6 3" xfId="5696"/>
    <cellStyle name="Milliers 2 2 2 3 7" xfId="2573"/>
    <cellStyle name="Milliers 2 2 2 3 8" xfId="4793"/>
    <cellStyle name="Milliers 2 2 2 3 9" xfId="6865"/>
    <cellStyle name="Milliers 2 2 2 4" xfId="247"/>
    <cellStyle name="Milliers 2 2 2 4 2" xfId="1185"/>
    <cellStyle name="Milliers 2 2 2 4 2 2" xfId="3473"/>
    <cellStyle name="Milliers 2 2 2 4 2 3" xfId="5693"/>
    <cellStyle name="Milliers 2 2 2 4 3" xfId="2570"/>
    <cellStyle name="Milliers 2 2 2 4 4" xfId="4790"/>
    <cellStyle name="Milliers 2 2 2 5" xfId="459"/>
    <cellStyle name="Milliers 2 2 2 5 2" xfId="1372"/>
    <cellStyle name="Milliers 2 2 2 5 2 2" xfId="3660"/>
    <cellStyle name="Milliers 2 2 2 5 2 3" xfId="5880"/>
    <cellStyle name="Milliers 2 2 2 5 3" xfId="2757"/>
    <cellStyle name="Milliers 2 2 2 5 4" xfId="4977"/>
    <cellStyle name="Milliers 2 2 2 6" xfId="649"/>
    <cellStyle name="Milliers 2 2 2 6 2" xfId="1560"/>
    <cellStyle name="Milliers 2 2 2 6 2 2" xfId="3848"/>
    <cellStyle name="Milliers 2 2 2 6 2 3" xfId="6068"/>
    <cellStyle name="Milliers 2 2 2 6 3" xfId="2945"/>
    <cellStyle name="Milliers 2 2 2 6 4" xfId="5165"/>
    <cellStyle name="Milliers 2 2 2 7" xfId="834"/>
    <cellStyle name="Milliers 2 2 2 7 2" xfId="1745"/>
    <cellStyle name="Milliers 2 2 2 7 2 2" xfId="4033"/>
    <cellStyle name="Milliers 2 2 2 7 2 3" xfId="6253"/>
    <cellStyle name="Milliers 2 2 2 7 3" xfId="3130"/>
    <cellStyle name="Milliers 2 2 2 7 4" xfId="5350"/>
    <cellStyle name="Milliers 2 2 2 8" xfId="2010"/>
    <cellStyle name="Milliers 2 2 2 8 2" xfId="4295"/>
    <cellStyle name="Milliers 2 2 2 8 3" xfId="6515"/>
    <cellStyle name="Milliers 2 2 2 9" xfId="1044"/>
    <cellStyle name="Milliers 2 2 2 9 2" xfId="3337"/>
    <cellStyle name="Milliers 2 2 2 9 3" xfId="5557"/>
    <cellStyle name="Milliers 2 2 3" xfId="51"/>
    <cellStyle name="Milliers 2 2 3 10" xfId="4663"/>
    <cellStyle name="Milliers 2 2 3 11" xfId="6866"/>
    <cellStyle name="Milliers 2 2 3 12" xfId="7052"/>
    <cellStyle name="Milliers 2 2 3 2" xfId="133"/>
    <cellStyle name="Milliers 2 2 3 2 10" xfId="6867"/>
    <cellStyle name="Milliers 2 2 3 2 11" xfId="7053"/>
    <cellStyle name="Milliers 2 2 3 2 2" xfId="252"/>
    <cellStyle name="Milliers 2 2 3 2 2 2" xfId="2301"/>
    <cellStyle name="Milliers 2 2 3 2 2 2 2" xfId="4512"/>
    <cellStyle name="Milliers 2 2 3 2 2 2 3" xfId="6731"/>
    <cellStyle name="Milliers 2 2 3 2 2 3" xfId="1190"/>
    <cellStyle name="Milliers 2 2 3 2 2 3 2" xfId="3478"/>
    <cellStyle name="Milliers 2 2 3 2 2 3 3" xfId="5698"/>
    <cellStyle name="Milliers 2 2 3 2 2 4" xfId="2575"/>
    <cellStyle name="Milliers 2 2 3 2 2 5" xfId="4795"/>
    <cellStyle name="Milliers 2 2 3 2 3" xfId="464"/>
    <cellStyle name="Milliers 2 2 3 2 3 2" xfId="1377"/>
    <cellStyle name="Milliers 2 2 3 2 3 2 2" xfId="3665"/>
    <cellStyle name="Milliers 2 2 3 2 3 2 3" xfId="5885"/>
    <cellStyle name="Milliers 2 2 3 2 3 3" xfId="2762"/>
    <cellStyle name="Milliers 2 2 3 2 3 4" xfId="4982"/>
    <cellStyle name="Milliers 2 2 3 2 4" xfId="654"/>
    <cellStyle name="Milliers 2 2 3 2 4 2" xfId="1565"/>
    <cellStyle name="Milliers 2 2 3 2 4 2 2" xfId="3853"/>
    <cellStyle name="Milliers 2 2 3 2 4 2 3" xfId="6073"/>
    <cellStyle name="Milliers 2 2 3 2 4 3" xfId="2950"/>
    <cellStyle name="Milliers 2 2 3 2 4 4" xfId="5170"/>
    <cellStyle name="Milliers 2 2 3 2 5" xfId="839"/>
    <cellStyle name="Milliers 2 2 3 2 5 2" xfId="1750"/>
    <cellStyle name="Milliers 2 2 3 2 5 2 2" xfId="4038"/>
    <cellStyle name="Milliers 2 2 3 2 5 2 3" xfId="6258"/>
    <cellStyle name="Milliers 2 2 3 2 5 3" xfId="3135"/>
    <cellStyle name="Milliers 2 2 3 2 5 4" xfId="5355"/>
    <cellStyle name="Milliers 2 2 3 2 6" xfId="2015"/>
    <cellStyle name="Milliers 2 2 3 2 6 2" xfId="4300"/>
    <cellStyle name="Milliers 2 2 3 2 6 3" xfId="6520"/>
    <cellStyle name="Milliers 2 2 3 2 7" xfId="1137"/>
    <cellStyle name="Milliers 2 2 3 2 7 2" xfId="3428"/>
    <cellStyle name="Milliers 2 2 3 2 7 3" xfId="5648"/>
    <cellStyle name="Milliers 2 2 3 2 8" xfId="2525"/>
    <cellStyle name="Milliers 2 2 3 2 9" xfId="4744"/>
    <cellStyle name="Milliers 2 2 3 3" xfId="251"/>
    <cellStyle name="Milliers 2 2 3 3 2" xfId="1993"/>
    <cellStyle name="Milliers 2 2 3 3 2 2" xfId="4279"/>
    <cellStyle name="Milliers 2 2 3 3 2 3" xfId="6499"/>
    <cellStyle name="Milliers 2 2 3 3 3" xfId="1189"/>
    <cellStyle name="Milliers 2 2 3 3 3 2" xfId="3477"/>
    <cellStyle name="Milliers 2 2 3 3 3 3" xfId="5697"/>
    <cellStyle name="Milliers 2 2 3 3 4" xfId="2574"/>
    <cellStyle name="Milliers 2 2 3 3 5" xfId="4794"/>
    <cellStyle name="Milliers 2 2 3 4" xfId="463"/>
    <cellStyle name="Milliers 2 2 3 4 2" xfId="1376"/>
    <cellStyle name="Milliers 2 2 3 4 2 2" xfId="3664"/>
    <cellStyle name="Milliers 2 2 3 4 2 3" xfId="5884"/>
    <cellStyle name="Milliers 2 2 3 4 3" xfId="2761"/>
    <cellStyle name="Milliers 2 2 3 4 4" xfId="4981"/>
    <cellStyle name="Milliers 2 2 3 5" xfId="653"/>
    <cellStyle name="Milliers 2 2 3 5 2" xfId="1564"/>
    <cellStyle name="Milliers 2 2 3 5 2 2" xfId="3852"/>
    <cellStyle name="Milliers 2 2 3 5 2 3" xfId="6072"/>
    <cellStyle name="Milliers 2 2 3 5 3" xfId="2949"/>
    <cellStyle name="Milliers 2 2 3 5 4" xfId="5169"/>
    <cellStyle name="Milliers 2 2 3 6" xfId="838"/>
    <cellStyle name="Milliers 2 2 3 6 2" xfId="1749"/>
    <cellStyle name="Milliers 2 2 3 6 2 2" xfId="4037"/>
    <cellStyle name="Milliers 2 2 3 6 2 3" xfId="6257"/>
    <cellStyle name="Milliers 2 2 3 6 3" xfId="3134"/>
    <cellStyle name="Milliers 2 2 3 6 4" xfId="5354"/>
    <cellStyle name="Milliers 2 2 3 7" xfId="2014"/>
    <cellStyle name="Milliers 2 2 3 7 2" xfId="4299"/>
    <cellStyle name="Milliers 2 2 3 7 3" xfId="6519"/>
    <cellStyle name="Milliers 2 2 3 8" xfId="1057"/>
    <cellStyle name="Milliers 2 2 3 8 2" xfId="3349"/>
    <cellStyle name="Milliers 2 2 3 8 3" xfId="5569"/>
    <cellStyle name="Milliers 2 2 3 9" xfId="2446"/>
    <cellStyle name="Milliers 2 2 4" xfId="63"/>
    <cellStyle name="Milliers 2 2 4 10" xfId="4675"/>
    <cellStyle name="Milliers 2 2 4 11" xfId="6868"/>
    <cellStyle name="Milliers 2 2 4 12" xfId="7054"/>
    <cellStyle name="Milliers 2 2 4 2" xfId="145"/>
    <cellStyle name="Milliers 2 2 4 2 10" xfId="6869"/>
    <cellStyle name="Milliers 2 2 4 2 11" xfId="7055"/>
    <cellStyle name="Milliers 2 2 4 2 2" xfId="254"/>
    <cellStyle name="Milliers 2 2 4 2 2 2" xfId="2302"/>
    <cellStyle name="Milliers 2 2 4 2 2 2 2" xfId="4513"/>
    <cellStyle name="Milliers 2 2 4 2 2 2 3" xfId="6732"/>
    <cellStyle name="Milliers 2 2 4 2 2 3" xfId="1192"/>
    <cellStyle name="Milliers 2 2 4 2 2 3 2" xfId="3480"/>
    <cellStyle name="Milliers 2 2 4 2 2 3 3" xfId="5700"/>
    <cellStyle name="Milliers 2 2 4 2 2 4" xfId="2577"/>
    <cellStyle name="Milliers 2 2 4 2 2 5" xfId="4797"/>
    <cellStyle name="Milliers 2 2 4 2 3" xfId="466"/>
    <cellStyle name="Milliers 2 2 4 2 3 2" xfId="1379"/>
    <cellStyle name="Milliers 2 2 4 2 3 2 2" xfId="3667"/>
    <cellStyle name="Milliers 2 2 4 2 3 2 3" xfId="5887"/>
    <cellStyle name="Milliers 2 2 4 2 3 3" xfId="2764"/>
    <cellStyle name="Milliers 2 2 4 2 3 4" xfId="4984"/>
    <cellStyle name="Milliers 2 2 4 2 4" xfId="656"/>
    <cellStyle name="Milliers 2 2 4 2 4 2" xfId="1567"/>
    <cellStyle name="Milliers 2 2 4 2 4 2 2" xfId="3855"/>
    <cellStyle name="Milliers 2 2 4 2 4 2 3" xfId="6075"/>
    <cellStyle name="Milliers 2 2 4 2 4 3" xfId="2952"/>
    <cellStyle name="Milliers 2 2 4 2 4 4" xfId="5172"/>
    <cellStyle name="Milliers 2 2 4 2 5" xfId="841"/>
    <cellStyle name="Milliers 2 2 4 2 5 2" xfId="1752"/>
    <cellStyle name="Milliers 2 2 4 2 5 2 2" xfId="4040"/>
    <cellStyle name="Milliers 2 2 4 2 5 2 3" xfId="6260"/>
    <cellStyle name="Milliers 2 2 4 2 5 3" xfId="3137"/>
    <cellStyle name="Milliers 2 2 4 2 5 4" xfId="5357"/>
    <cellStyle name="Milliers 2 2 4 2 6" xfId="2017"/>
    <cellStyle name="Milliers 2 2 4 2 6 2" xfId="4302"/>
    <cellStyle name="Milliers 2 2 4 2 6 3" xfId="6522"/>
    <cellStyle name="Milliers 2 2 4 2 7" xfId="1149"/>
    <cellStyle name="Milliers 2 2 4 2 7 2" xfId="3440"/>
    <cellStyle name="Milliers 2 2 4 2 7 3" xfId="5660"/>
    <cellStyle name="Milliers 2 2 4 2 8" xfId="2537"/>
    <cellStyle name="Milliers 2 2 4 2 9" xfId="4756"/>
    <cellStyle name="Milliers 2 2 4 3" xfId="253"/>
    <cellStyle name="Milliers 2 2 4 3 2" xfId="1996"/>
    <cellStyle name="Milliers 2 2 4 3 2 2" xfId="4281"/>
    <cellStyle name="Milliers 2 2 4 3 2 3" xfId="6501"/>
    <cellStyle name="Milliers 2 2 4 3 3" xfId="1191"/>
    <cellStyle name="Milliers 2 2 4 3 3 2" xfId="3479"/>
    <cellStyle name="Milliers 2 2 4 3 3 3" xfId="5699"/>
    <cellStyle name="Milliers 2 2 4 3 4" xfId="2576"/>
    <cellStyle name="Milliers 2 2 4 3 5" xfId="4796"/>
    <cellStyle name="Milliers 2 2 4 4" xfId="465"/>
    <cellStyle name="Milliers 2 2 4 4 2" xfId="1378"/>
    <cellStyle name="Milliers 2 2 4 4 2 2" xfId="3666"/>
    <cellStyle name="Milliers 2 2 4 4 2 3" xfId="5886"/>
    <cellStyle name="Milliers 2 2 4 4 3" xfId="2763"/>
    <cellStyle name="Milliers 2 2 4 4 4" xfId="4983"/>
    <cellStyle name="Milliers 2 2 4 5" xfId="655"/>
    <cellStyle name="Milliers 2 2 4 5 2" xfId="1566"/>
    <cellStyle name="Milliers 2 2 4 5 2 2" xfId="3854"/>
    <cellStyle name="Milliers 2 2 4 5 2 3" xfId="6074"/>
    <cellStyle name="Milliers 2 2 4 5 3" xfId="2951"/>
    <cellStyle name="Milliers 2 2 4 5 4" xfId="5171"/>
    <cellStyle name="Milliers 2 2 4 6" xfId="840"/>
    <cellStyle name="Milliers 2 2 4 6 2" xfId="1751"/>
    <cellStyle name="Milliers 2 2 4 6 2 2" xfId="4039"/>
    <cellStyle name="Milliers 2 2 4 6 2 3" xfId="6259"/>
    <cellStyle name="Milliers 2 2 4 6 3" xfId="3136"/>
    <cellStyle name="Milliers 2 2 4 6 4" xfId="5356"/>
    <cellStyle name="Milliers 2 2 4 7" xfId="2016"/>
    <cellStyle name="Milliers 2 2 4 7 2" xfId="4301"/>
    <cellStyle name="Milliers 2 2 4 7 3" xfId="6521"/>
    <cellStyle name="Milliers 2 2 4 8" xfId="1069"/>
    <cellStyle name="Milliers 2 2 4 8 2" xfId="3361"/>
    <cellStyle name="Milliers 2 2 4 8 3" xfId="5581"/>
    <cellStyle name="Milliers 2 2 4 9" xfId="2458"/>
    <cellStyle name="Milliers 2 2 5" xfId="75"/>
    <cellStyle name="Milliers 2 2 5 10" xfId="4687"/>
    <cellStyle name="Milliers 2 2 5 11" xfId="6870"/>
    <cellStyle name="Milliers 2 2 5 12" xfId="7056"/>
    <cellStyle name="Milliers 2 2 5 2" xfId="157"/>
    <cellStyle name="Milliers 2 2 5 2 10" xfId="6871"/>
    <cellStyle name="Milliers 2 2 5 2 11" xfId="7057"/>
    <cellStyle name="Milliers 2 2 5 2 2" xfId="256"/>
    <cellStyle name="Milliers 2 2 5 2 2 2" xfId="2303"/>
    <cellStyle name="Milliers 2 2 5 2 2 2 2" xfId="4514"/>
    <cellStyle name="Milliers 2 2 5 2 2 2 3" xfId="6733"/>
    <cellStyle name="Milliers 2 2 5 2 2 3" xfId="1194"/>
    <cellStyle name="Milliers 2 2 5 2 2 3 2" xfId="3482"/>
    <cellStyle name="Milliers 2 2 5 2 2 3 3" xfId="5702"/>
    <cellStyle name="Milliers 2 2 5 2 2 4" xfId="2579"/>
    <cellStyle name="Milliers 2 2 5 2 2 5" xfId="4799"/>
    <cellStyle name="Milliers 2 2 5 2 3" xfId="468"/>
    <cellStyle name="Milliers 2 2 5 2 3 2" xfId="1381"/>
    <cellStyle name="Milliers 2 2 5 2 3 2 2" xfId="3669"/>
    <cellStyle name="Milliers 2 2 5 2 3 2 3" xfId="5889"/>
    <cellStyle name="Milliers 2 2 5 2 3 3" xfId="2766"/>
    <cellStyle name="Milliers 2 2 5 2 3 4" xfId="4986"/>
    <cellStyle name="Milliers 2 2 5 2 4" xfId="658"/>
    <cellStyle name="Milliers 2 2 5 2 4 2" xfId="1569"/>
    <cellStyle name="Milliers 2 2 5 2 4 2 2" xfId="3857"/>
    <cellStyle name="Milliers 2 2 5 2 4 2 3" xfId="6077"/>
    <cellStyle name="Milliers 2 2 5 2 4 3" xfId="2954"/>
    <cellStyle name="Milliers 2 2 5 2 4 4" xfId="5174"/>
    <cellStyle name="Milliers 2 2 5 2 5" xfId="843"/>
    <cellStyle name="Milliers 2 2 5 2 5 2" xfId="1754"/>
    <cellStyle name="Milliers 2 2 5 2 5 2 2" xfId="4042"/>
    <cellStyle name="Milliers 2 2 5 2 5 2 3" xfId="6262"/>
    <cellStyle name="Milliers 2 2 5 2 5 3" xfId="3139"/>
    <cellStyle name="Milliers 2 2 5 2 5 4" xfId="5359"/>
    <cellStyle name="Milliers 2 2 5 2 6" xfId="2019"/>
    <cellStyle name="Milliers 2 2 5 2 6 2" xfId="4304"/>
    <cellStyle name="Milliers 2 2 5 2 6 3" xfId="6524"/>
    <cellStyle name="Milliers 2 2 5 2 7" xfId="1161"/>
    <cellStyle name="Milliers 2 2 5 2 7 2" xfId="3452"/>
    <cellStyle name="Milliers 2 2 5 2 7 3" xfId="5672"/>
    <cellStyle name="Milliers 2 2 5 2 8" xfId="2549"/>
    <cellStyle name="Milliers 2 2 5 2 9" xfId="4768"/>
    <cellStyle name="Milliers 2 2 5 3" xfId="255"/>
    <cellStyle name="Milliers 2 2 5 3 2" xfId="1958"/>
    <cellStyle name="Milliers 2 2 5 3 2 2" xfId="4245"/>
    <cellStyle name="Milliers 2 2 5 3 2 3" xfId="6465"/>
    <cellStyle name="Milliers 2 2 5 3 3" xfId="1193"/>
    <cellStyle name="Milliers 2 2 5 3 3 2" xfId="3481"/>
    <cellStyle name="Milliers 2 2 5 3 3 3" xfId="5701"/>
    <cellStyle name="Milliers 2 2 5 3 4" xfId="2578"/>
    <cellStyle name="Milliers 2 2 5 3 5" xfId="4798"/>
    <cellStyle name="Milliers 2 2 5 4" xfId="467"/>
    <cellStyle name="Milliers 2 2 5 4 2" xfId="1380"/>
    <cellStyle name="Milliers 2 2 5 4 2 2" xfId="3668"/>
    <cellStyle name="Milliers 2 2 5 4 2 3" xfId="5888"/>
    <cellStyle name="Milliers 2 2 5 4 3" xfId="2765"/>
    <cellStyle name="Milliers 2 2 5 4 4" xfId="4985"/>
    <cellStyle name="Milliers 2 2 5 5" xfId="657"/>
    <cellStyle name="Milliers 2 2 5 5 2" xfId="1568"/>
    <cellStyle name="Milliers 2 2 5 5 2 2" xfId="3856"/>
    <cellStyle name="Milliers 2 2 5 5 2 3" xfId="6076"/>
    <cellStyle name="Milliers 2 2 5 5 3" xfId="2953"/>
    <cellStyle name="Milliers 2 2 5 5 4" xfId="5173"/>
    <cellStyle name="Milliers 2 2 5 6" xfId="842"/>
    <cellStyle name="Milliers 2 2 5 6 2" xfId="1753"/>
    <cellStyle name="Milliers 2 2 5 6 2 2" xfId="4041"/>
    <cellStyle name="Milliers 2 2 5 6 2 3" xfId="6261"/>
    <cellStyle name="Milliers 2 2 5 6 3" xfId="3138"/>
    <cellStyle name="Milliers 2 2 5 6 4" xfId="5358"/>
    <cellStyle name="Milliers 2 2 5 7" xfId="2018"/>
    <cellStyle name="Milliers 2 2 5 7 2" xfId="4303"/>
    <cellStyle name="Milliers 2 2 5 7 3" xfId="6523"/>
    <cellStyle name="Milliers 2 2 5 8" xfId="1081"/>
    <cellStyle name="Milliers 2 2 5 8 2" xfId="3373"/>
    <cellStyle name="Milliers 2 2 5 8 3" xfId="5593"/>
    <cellStyle name="Milliers 2 2 5 9" xfId="2470"/>
    <cellStyle name="Milliers 2 2 6" xfId="87"/>
    <cellStyle name="Milliers 2 2 6 10" xfId="4699"/>
    <cellStyle name="Milliers 2 2 6 11" xfId="6872"/>
    <cellStyle name="Milliers 2 2 6 12" xfId="7058"/>
    <cellStyle name="Milliers 2 2 6 2" xfId="169"/>
    <cellStyle name="Milliers 2 2 6 2 10" xfId="6873"/>
    <cellStyle name="Milliers 2 2 6 2 11" xfId="7059"/>
    <cellStyle name="Milliers 2 2 6 2 2" xfId="258"/>
    <cellStyle name="Milliers 2 2 6 2 2 2" xfId="2304"/>
    <cellStyle name="Milliers 2 2 6 2 2 2 2" xfId="4515"/>
    <cellStyle name="Milliers 2 2 6 2 2 2 3" xfId="6734"/>
    <cellStyle name="Milliers 2 2 6 2 2 3" xfId="1196"/>
    <cellStyle name="Milliers 2 2 6 2 2 3 2" xfId="3484"/>
    <cellStyle name="Milliers 2 2 6 2 2 3 3" xfId="5704"/>
    <cellStyle name="Milliers 2 2 6 2 2 4" xfId="2581"/>
    <cellStyle name="Milliers 2 2 6 2 2 5" xfId="4801"/>
    <cellStyle name="Milliers 2 2 6 2 3" xfId="470"/>
    <cellStyle name="Milliers 2 2 6 2 3 2" xfId="1383"/>
    <cellStyle name="Milliers 2 2 6 2 3 2 2" xfId="3671"/>
    <cellStyle name="Milliers 2 2 6 2 3 2 3" xfId="5891"/>
    <cellStyle name="Milliers 2 2 6 2 3 3" xfId="2768"/>
    <cellStyle name="Milliers 2 2 6 2 3 4" xfId="4988"/>
    <cellStyle name="Milliers 2 2 6 2 4" xfId="660"/>
    <cellStyle name="Milliers 2 2 6 2 4 2" xfId="1571"/>
    <cellStyle name="Milliers 2 2 6 2 4 2 2" xfId="3859"/>
    <cellStyle name="Milliers 2 2 6 2 4 2 3" xfId="6079"/>
    <cellStyle name="Milliers 2 2 6 2 4 3" xfId="2956"/>
    <cellStyle name="Milliers 2 2 6 2 4 4" xfId="5176"/>
    <cellStyle name="Milliers 2 2 6 2 5" xfId="845"/>
    <cellStyle name="Milliers 2 2 6 2 5 2" xfId="1756"/>
    <cellStyle name="Milliers 2 2 6 2 5 2 2" xfId="4044"/>
    <cellStyle name="Milliers 2 2 6 2 5 2 3" xfId="6264"/>
    <cellStyle name="Milliers 2 2 6 2 5 3" xfId="3141"/>
    <cellStyle name="Milliers 2 2 6 2 5 4" xfId="5361"/>
    <cellStyle name="Milliers 2 2 6 2 6" xfId="2021"/>
    <cellStyle name="Milliers 2 2 6 2 6 2" xfId="4306"/>
    <cellStyle name="Milliers 2 2 6 2 6 3" xfId="6526"/>
    <cellStyle name="Milliers 2 2 6 2 7" xfId="1173"/>
    <cellStyle name="Milliers 2 2 6 2 7 2" xfId="3464"/>
    <cellStyle name="Milliers 2 2 6 2 7 3" xfId="5684"/>
    <cellStyle name="Milliers 2 2 6 2 8" xfId="2561"/>
    <cellStyle name="Milliers 2 2 6 2 9" xfId="4780"/>
    <cellStyle name="Milliers 2 2 6 3" xfId="257"/>
    <cellStyle name="Milliers 2 2 6 3 2" xfId="2001"/>
    <cellStyle name="Milliers 2 2 6 3 2 2" xfId="4286"/>
    <cellStyle name="Milliers 2 2 6 3 2 3" xfId="6506"/>
    <cellStyle name="Milliers 2 2 6 3 3" xfId="1195"/>
    <cellStyle name="Milliers 2 2 6 3 3 2" xfId="3483"/>
    <cellStyle name="Milliers 2 2 6 3 3 3" xfId="5703"/>
    <cellStyle name="Milliers 2 2 6 3 4" xfId="2580"/>
    <cellStyle name="Milliers 2 2 6 3 5" xfId="4800"/>
    <cellStyle name="Milliers 2 2 6 4" xfId="469"/>
    <cellStyle name="Milliers 2 2 6 4 2" xfId="1382"/>
    <cellStyle name="Milliers 2 2 6 4 2 2" xfId="3670"/>
    <cellStyle name="Milliers 2 2 6 4 2 3" xfId="5890"/>
    <cellStyle name="Milliers 2 2 6 4 3" xfId="2767"/>
    <cellStyle name="Milliers 2 2 6 4 4" xfId="4987"/>
    <cellStyle name="Milliers 2 2 6 5" xfId="659"/>
    <cellStyle name="Milliers 2 2 6 5 2" xfId="1570"/>
    <cellStyle name="Milliers 2 2 6 5 2 2" xfId="3858"/>
    <cellStyle name="Milliers 2 2 6 5 2 3" xfId="6078"/>
    <cellStyle name="Milliers 2 2 6 5 3" xfId="2955"/>
    <cellStyle name="Milliers 2 2 6 5 4" xfId="5175"/>
    <cellStyle name="Milliers 2 2 6 6" xfId="844"/>
    <cellStyle name="Milliers 2 2 6 6 2" xfId="1755"/>
    <cellStyle name="Milliers 2 2 6 6 2 2" xfId="4043"/>
    <cellStyle name="Milliers 2 2 6 6 2 3" xfId="6263"/>
    <cellStyle name="Milliers 2 2 6 6 3" xfId="3140"/>
    <cellStyle name="Milliers 2 2 6 6 4" xfId="5360"/>
    <cellStyle name="Milliers 2 2 6 7" xfId="2020"/>
    <cellStyle name="Milliers 2 2 6 7 2" xfId="4305"/>
    <cellStyle name="Milliers 2 2 6 7 3" xfId="6525"/>
    <cellStyle name="Milliers 2 2 6 8" xfId="1093"/>
    <cellStyle name="Milliers 2 2 6 8 2" xfId="3385"/>
    <cellStyle name="Milliers 2 2 6 8 3" xfId="5605"/>
    <cellStyle name="Milliers 2 2 6 9" xfId="2482"/>
    <cellStyle name="Milliers 2 2 7" xfId="110"/>
    <cellStyle name="Milliers 2 2 7 10" xfId="6874"/>
    <cellStyle name="Milliers 2 2 7 11" xfId="7060"/>
    <cellStyle name="Milliers 2 2 7 2" xfId="259"/>
    <cellStyle name="Milliers 2 2 7 2 2" xfId="2003"/>
    <cellStyle name="Milliers 2 2 7 2 2 2" xfId="4288"/>
    <cellStyle name="Milliers 2 2 7 2 2 3" xfId="6508"/>
    <cellStyle name="Milliers 2 2 7 2 3" xfId="1197"/>
    <cellStyle name="Milliers 2 2 7 2 3 2" xfId="3485"/>
    <cellStyle name="Milliers 2 2 7 2 3 3" xfId="5705"/>
    <cellStyle name="Milliers 2 2 7 2 4" xfId="2582"/>
    <cellStyle name="Milliers 2 2 7 2 5" xfId="4802"/>
    <cellStyle name="Milliers 2 2 7 3" xfId="471"/>
    <cellStyle name="Milliers 2 2 7 3 2" xfId="1384"/>
    <cellStyle name="Milliers 2 2 7 3 2 2" xfId="3672"/>
    <cellStyle name="Milliers 2 2 7 3 2 3" xfId="5892"/>
    <cellStyle name="Milliers 2 2 7 3 3" xfId="2769"/>
    <cellStyle name="Milliers 2 2 7 3 4" xfId="4989"/>
    <cellStyle name="Milliers 2 2 7 4" xfId="661"/>
    <cellStyle name="Milliers 2 2 7 4 2" xfId="1572"/>
    <cellStyle name="Milliers 2 2 7 4 2 2" xfId="3860"/>
    <cellStyle name="Milliers 2 2 7 4 2 3" xfId="6080"/>
    <cellStyle name="Milliers 2 2 7 4 3" xfId="2957"/>
    <cellStyle name="Milliers 2 2 7 4 4" xfId="5177"/>
    <cellStyle name="Milliers 2 2 7 5" xfId="846"/>
    <cellStyle name="Milliers 2 2 7 5 2" xfId="1757"/>
    <cellStyle name="Milliers 2 2 7 5 2 2" xfId="4045"/>
    <cellStyle name="Milliers 2 2 7 5 2 3" xfId="6265"/>
    <cellStyle name="Milliers 2 2 7 5 3" xfId="3142"/>
    <cellStyle name="Milliers 2 2 7 5 4" xfId="5362"/>
    <cellStyle name="Milliers 2 2 7 6" xfId="2022"/>
    <cellStyle name="Milliers 2 2 7 6 2" xfId="4307"/>
    <cellStyle name="Milliers 2 2 7 6 3" xfId="6527"/>
    <cellStyle name="Milliers 2 2 7 7" xfId="1114"/>
    <cellStyle name="Milliers 2 2 7 7 2" xfId="3405"/>
    <cellStyle name="Milliers 2 2 7 7 3" xfId="5625"/>
    <cellStyle name="Milliers 2 2 7 8" xfId="2502"/>
    <cellStyle name="Milliers 2 2 7 9" xfId="4721"/>
    <cellStyle name="Milliers 2 2 8" xfId="246"/>
    <cellStyle name="Milliers 2 2 8 2" xfId="1969"/>
    <cellStyle name="Milliers 2 2 8 2 2" xfId="4255"/>
    <cellStyle name="Milliers 2 2 8 2 3" xfId="6475"/>
    <cellStyle name="Milliers 2 2 8 3" xfId="1184"/>
    <cellStyle name="Milliers 2 2 8 3 2" xfId="3472"/>
    <cellStyle name="Milliers 2 2 8 3 3" xfId="5692"/>
    <cellStyle name="Milliers 2 2 8 4" xfId="2569"/>
    <cellStyle name="Milliers 2 2 8 5" xfId="4789"/>
    <cellStyle name="Milliers 2 2 9" xfId="458"/>
    <cellStyle name="Milliers 2 2 9 2" xfId="1371"/>
    <cellStyle name="Milliers 2 2 9 2 2" xfId="3659"/>
    <cellStyle name="Milliers 2 2 9 2 3" xfId="5879"/>
    <cellStyle name="Milliers 2 2 9 3" xfId="2756"/>
    <cellStyle name="Milliers 2 2 9 4" xfId="4976"/>
    <cellStyle name="Milliers 2 3" xfId="13"/>
    <cellStyle name="Milliers 2 3 10" xfId="2418"/>
    <cellStyle name="Milliers 2 3 11" xfId="4634"/>
    <cellStyle name="Milliers 2 3 12" xfId="6875"/>
    <cellStyle name="Milliers 2 3 13" xfId="7061"/>
    <cellStyle name="Milliers 2 3 2" xfId="105"/>
    <cellStyle name="Milliers 2 3 2 10" xfId="4716"/>
    <cellStyle name="Milliers 2 3 2 11" xfId="6876"/>
    <cellStyle name="Milliers 2 3 2 12" xfId="7062"/>
    <cellStyle name="Milliers 2 3 2 2" xfId="262"/>
    <cellStyle name="Milliers 2 3 2 2 10" xfId="7063"/>
    <cellStyle name="Milliers 2 3 2 2 2" xfId="474"/>
    <cellStyle name="Milliers 2 3 2 2 2 2" xfId="1387"/>
    <cellStyle name="Milliers 2 3 2 2 2 2 2" xfId="3675"/>
    <cellStyle name="Milliers 2 3 2 2 2 2 3" xfId="5895"/>
    <cellStyle name="Milliers 2 3 2 2 2 3" xfId="2772"/>
    <cellStyle name="Milliers 2 3 2 2 2 4" xfId="4992"/>
    <cellStyle name="Milliers 2 3 2 2 3" xfId="664"/>
    <cellStyle name="Milliers 2 3 2 2 3 2" xfId="1575"/>
    <cellStyle name="Milliers 2 3 2 2 3 2 2" xfId="3863"/>
    <cellStyle name="Milliers 2 3 2 2 3 2 3" xfId="6083"/>
    <cellStyle name="Milliers 2 3 2 2 3 3" xfId="2960"/>
    <cellStyle name="Milliers 2 3 2 2 3 4" xfId="5180"/>
    <cellStyle name="Milliers 2 3 2 2 4" xfId="849"/>
    <cellStyle name="Milliers 2 3 2 2 4 2" xfId="1760"/>
    <cellStyle name="Milliers 2 3 2 2 4 2 2" xfId="4048"/>
    <cellStyle name="Milliers 2 3 2 2 4 2 3" xfId="6268"/>
    <cellStyle name="Milliers 2 3 2 2 4 3" xfId="3145"/>
    <cellStyle name="Milliers 2 3 2 2 4 4" xfId="5365"/>
    <cellStyle name="Milliers 2 3 2 2 5" xfId="2025"/>
    <cellStyle name="Milliers 2 3 2 2 5 2" xfId="4310"/>
    <cellStyle name="Milliers 2 3 2 2 5 3" xfId="6530"/>
    <cellStyle name="Milliers 2 3 2 2 6" xfId="1200"/>
    <cellStyle name="Milliers 2 3 2 2 6 2" xfId="3488"/>
    <cellStyle name="Milliers 2 3 2 2 6 3" xfId="5708"/>
    <cellStyle name="Milliers 2 3 2 2 7" xfId="2585"/>
    <cellStyle name="Milliers 2 3 2 2 8" xfId="4805"/>
    <cellStyle name="Milliers 2 3 2 2 9" xfId="6877"/>
    <cellStyle name="Milliers 2 3 2 3" xfId="261"/>
    <cellStyle name="Milliers 2 3 2 3 2" xfId="1199"/>
    <cellStyle name="Milliers 2 3 2 3 2 2" xfId="3487"/>
    <cellStyle name="Milliers 2 3 2 3 2 3" xfId="5707"/>
    <cellStyle name="Milliers 2 3 2 3 3" xfId="2584"/>
    <cellStyle name="Milliers 2 3 2 3 4" xfId="4804"/>
    <cellStyle name="Milliers 2 3 2 4" xfId="473"/>
    <cellStyle name="Milliers 2 3 2 4 2" xfId="1386"/>
    <cellStyle name="Milliers 2 3 2 4 2 2" xfId="3674"/>
    <cellStyle name="Milliers 2 3 2 4 2 3" xfId="5894"/>
    <cellStyle name="Milliers 2 3 2 4 3" xfId="2771"/>
    <cellStyle name="Milliers 2 3 2 4 4" xfId="4991"/>
    <cellStyle name="Milliers 2 3 2 5" xfId="663"/>
    <cellStyle name="Milliers 2 3 2 5 2" xfId="1574"/>
    <cellStyle name="Milliers 2 3 2 5 2 2" xfId="3862"/>
    <cellStyle name="Milliers 2 3 2 5 2 3" xfId="6082"/>
    <cellStyle name="Milliers 2 3 2 5 3" xfId="2959"/>
    <cellStyle name="Milliers 2 3 2 5 4" xfId="5179"/>
    <cellStyle name="Milliers 2 3 2 6" xfId="848"/>
    <cellStyle name="Milliers 2 3 2 6 2" xfId="1759"/>
    <cellStyle name="Milliers 2 3 2 6 2 2" xfId="4047"/>
    <cellStyle name="Milliers 2 3 2 6 2 3" xfId="6267"/>
    <cellStyle name="Milliers 2 3 2 6 3" xfId="3144"/>
    <cellStyle name="Milliers 2 3 2 6 4" xfId="5364"/>
    <cellStyle name="Milliers 2 3 2 7" xfId="2024"/>
    <cellStyle name="Milliers 2 3 2 7 2" xfId="4309"/>
    <cellStyle name="Milliers 2 3 2 7 3" xfId="6529"/>
    <cellStyle name="Milliers 2 3 2 8" xfId="1109"/>
    <cellStyle name="Milliers 2 3 2 8 2" xfId="3400"/>
    <cellStyle name="Milliers 2 3 2 8 3" xfId="5620"/>
    <cellStyle name="Milliers 2 3 2 9" xfId="2497"/>
    <cellStyle name="Milliers 2 3 3" xfId="263"/>
    <cellStyle name="Milliers 2 3 3 10" xfId="7064"/>
    <cellStyle name="Milliers 2 3 3 2" xfId="475"/>
    <cellStyle name="Milliers 2 3 3 2 2" xfId="1388"/>
    <cellStyle name="Milliers 2 3 3 2 2 2" xfId="3676"/>
    <cellStyle name="Milliers 2 3 3 2 2 3" xfId="5896"/>
    <cellStyle name="Milliers 2 3 3 2 3" xfId="2773"/>
    <cellStyle name="Milliers 2 3 3 2 4" xfId="4993"/>
    <cellStyle name="Milliers 2 3 3 3" xfId="665"/>
    <cellStyle name="Milliers 2 3 3 3 2" xfId="1576"/>
    <cellStyle name="Milliers 2 3 3 3 2 2" xfId="3864"/>
    <cellStyle name="Milliers 2 3 3 3 2 3" xfId="6084"/>
    <cellStyle name="Milliers 2 3 3 3 3" xfId="2961"/>
    <cellStyle name="Milliers 2 3 3 3 4" xfId="5181"/>
    <cellStyle name="Milliers 2 3 3 4" xfId="850"/>
    <cellStyle name="Milliers 2 3 3 4 2" xfId="1761"/>
    <cellStyle name="Milliers 2 3 3 4 2 2" xfId="4049"/>
    <cellStyle name="Milliers 2 3 3 4 2 3" xfId="6269"/>
    <cellStyle name="Milliers 2 3 3 4 3" xfId="3146"/>
    <cellStyle name="Milliers 2 3 3 4 4" xfId="5366"/>
    <cellStyle name="Milliers 2 3 3 5" xfId="2026"/>
    <cellStyle name="Milliers 2 3 3 5 2" xfId="4311"/>
    <cellStyle name="Milliers 2 3 3 5 3" xfId="6531"/>
    <cellStyle name="Milliers 2 3 3 6" xfId="1201"/>
    <cellStyle name="Milliers 2 3 3 6 2" xfId="3489"/>
    <cellStyle name="Milliers 2 3 3 6 3" xfId="5709"/>
    <cellStyle name="Milliers 2 3 3 7" xfId="2586"/>
    <cellStyle name="Milliers 2 3 3 8" xfId="4806"/>
    <cellStyle name="Milliers 2 3 3 9" xfId="6878"/>
    <cellStyle name="Milliers 2 3 4" xfId="260"/>
    <cellStyle name="Milliers 2 3 4 2" xfId="1198"/>
    <cellStyle name="Milliers 2 3 4 2 2" xfId="3486"/>
    <cellStyle name="Milliers 2 3 4 2 3" xfId="5706"/>
    <cellStyle name="Milliers 2 3 4 3" xfId="2583"/>
    <cellStyle name="Milliers 2 3 4 4" xfId="4803"/>
    <cellStyle name="Milliers 2 3 5" xfId="472"/>
    <cellStyle name="Milliers 2 3 5 2" xfId="1385"/>
    <cellStyle name="Milliers 2 3 5 2 2" xfId="3673"/>
    <cellStyle name="Milliers 2 3 5 2 3" xfId="5893"/>
    <cellStyle name="Milliers 2 3 5 3" xfId="2770"/>
    <cellStyle name="Milliers 2 3 5 4" xfId="4990"/>
    <cellStyle name="Milliers 2 3 6" xfId="662"/>
    <cellStyle name="Milliers 2 3 6 2" xfId="1573"/>
    <cellStyle name="Milliers 2 3 6 2 2" xfId="3861"/>
    <cellStyle name="Milliers 2 3 6 2 3" xfId="6081"/>
    <cellStyle name="Milliers 2 3 6 3" xfId="2958"/>
    <cellStyle name="Milliers 2 3 6 4" xfId="5178"/>
    <cellStyle name="Milliers 2 3 7" xfId="847"/>
    <cellStyle name="Milliers 2 3 7 2" xfId="1758"/>
    <cellStyle name="Milliers 2 3 7 2 2" xfId="4046"/>
    <cellStyle name="Milliers 2 3 7 2 3" xfId="6266"/>
    <cellStyle name="Milliers 2 3 7 3" xfId="3143"/>
    <cellStyle name="Milliers 2 3 7 4" xfId="5363"/>
    <cellStyle name="Milliers 2 3 8" xfId="2023"/>
    <cellStyle name="Milliers 2 3 8 2" xfId="4308"/>
    <cellStyle name="Milliers 2 3 8 3" xfId="6528"/>
    <cellStyle name="Milliers 2 3 9" xfId="1027"/>
    <cellStyle name="Milliers 2 3 9 2" xfId="3321"/>
    <cellStyle name="Milliers 2 3 9 3" xfId="5541"/>
    <cellStyle name="Milliers 2 4" xfId="28"/>
    <cellStyle name="Milliers 2 4 10" xfId="2427"/>
    <cellStyle name="Milliers 2 4 11" xfId="4644"/>
    <cellStyle name="Milliers 2 4 12" xfId="6879"/>
    <cellStyle name="Milliers 2 4 13" xfId="7065"/>
    <cellStyle name="Milliers 2 4 2" xfId="114"/>
    <cellStyle name="Milliers 2 4 2 10" xfId="4725"/>
    <cellStyle name="Milliers 2 4 2 11" xfId="6880"/>
    <cellStyle name="Milliers 2 4 2 12" xfId="7066"/>
    <cellStyle name="Milliers 2 4 2 2" xfId="266"/>
    <cellStyle name="Milliers 2 4 2 2 10" xfId="7067"/>
    <cellStyle name="Milliers 2 4 2 2 2" xfId="478"/>
    <cellStyle name="Milliers 2 4 2 2 2 2" xfId="1391"/>
    <cellStyle name="Milliers 2 4 2 2 2 2 2" xfId="3679"/>
    <cellStyle name="Milliers 2 4 2 2 2 2 3" xfId="5899"/>
    <cellStyle name="Milliers 2 4 2 2 2 3" xfId="2776"/>
    <cellStyle name="Milliers 2 4 2 2 2 4" xfId="4996"/>
    <cellStyle name="Milliers 2 4 2 2 3" xfId="668"/>
    <cellStyle name="Milliers 2 4 2 2 3 2" xfId="1579"/>
    <cellStyle name="Milliers 2 4 2 2 3 2 2" xfId="3867"/>
    <cellStyle name="Milliers 2 4 2 2 3 2 3" xfId="6087"/>
    <cellStyle name="Milliers 2 4 2 2 3 3" xfId="2964"/>
    <cellStyle name="Milliers 2 4 2 2 3 4" xfId="5184"/>
    <cellStyle name="Milliers 2 4 2 2 4" xfId="853"/>
    <cellStyle name="Milliers 2 4 2 2 4 2" xfId="1764"/>
    <cellStyle name="Milliers 2 4 2 2 4 2 2" xfId="4052"/>
    <cellStyle name="Milliers 2 4 2 2 4 2 3" xfId="6272"/>
    <cellStyle name="Milliers 2 4 2 2 4 3" xfId="3149"/>
    <cellStyle name="Milliers 2 4 2 2 4 4" xfId="5369"/>
    <cellStyle name="Milliers 2 4 2 2 5" xfId="2029"/>
    <cellStyle name="Milliers 2 4 2 2 5 2" xfId="4314"/>
    <cellStyle name="Milliers 2 4 2 2 5 3" xfId="6534"/>
    <cellStyle name="Milliers 2 4 2 2 6" xfId="1204"/>
    <cellStyle name="Milliers 2 4 2 2 6 2" xfId="3492"/>
    <cellStyle name="Milliers 2 4 2 2 6 3" xfId="5712"/>
    <cellStyle name="Milliers 2 4 2 2 7" xfId="2589"/>
    <cellStyle name="Milliers 2 4 2 2 8" xfId="4809"/>
    <cellStyle name="Milliers 2 4 2 2 9" xfId="6881"/>
    <cellStyle name="Milliers 2 4 2 3" xfId="265"/>
    <cellStyle name="Milliers 2 4 2 3 2" xfId="1203"/>
    <cellStyle name="Milliers 2 4 2 3 2 2" xfId="3491"/>
    <cellStyle name="Milliers 2 4 2 3 2 3" xfId="5711"/>
    <cellStyle name="Milliers 2 4 2 3 3" xfId="2588"/>
    <cellStyle name="Milliers 2 4 2 3 4" xfId="4808"/>
    <cellStyle name="Milliers 2 4 2 4" xfId="477"/>
    <cellStyle name="Milliers 2 4 2 4 2" xfId="1390"/>
    <cellStyle name="Milliers 2 4 2 4 2 2" xfId="3678"/>
    <cellStyle name="Milliers 2 4 2 4 2 3" xfId="5898"/>
    <cellStyle name="Milliers 2 4 2 4 3" xfId="2775"/>
    <cellStyle name="Milliers 2 4 2 4 4" xfId="4995"/>
    <cellStyle name="Milliers 2 4 2 5" xfId="667"/>
    <cellStyle name="Milliers 2 4 2 5 2" xfId="1578"/>
    <cellStyle name="Milliers 2 4 2 5 2 2" xfId="3866"/>
    <cellStyle name="Milliers 2 4 2 5 2 3" xfId="6086"/>
    <cellStyle name="Milliers 2 4 2 5 3" xfId="2963"/>
    <cellStyle name="Milliers 2 4 2 5 4" xfId="5183"/>
    <cellStyle name="Milliers 2 4 2 6" xfId="852"/>
    <cellStyle name="Milliers 2 4 2 6 2" xfId="1763"/>
    <cellStyle name="Milliers 2 4 2 6 2 2" xfId="4051"/>
    <cellStyle name="Milliers 2 4 2 6 2 3" xfId="6271"/>
    <cellStyle name="Milliers 2 4 2 6 3" xfId="3148"/>
    <cellStyle name="Milliers 2 4 2 6 4" xfId="5368"/>
    <cellStyle name="Milliers 2 4 2 7" xfId="2028"/>
    <cellStyle name="Milliers 2 4 2 7 2" xfId="4313"/>
    <cellStyle name="Milliers 2 4 2 7 3" xfId="6533"/>
    <cellStyle name="Milliers 2 4 2 8" xfId="1118"/>
    <cellStyle name="Milliers 2 4 2 8 2" xfId="3409"/>
    <cellStyle name="Milliers 2 4 2 8 3" xfId="5629"/>
    <cellStyle name="Milliers 2 4 2 9" xfId="2506"/>
    <cellStyle name="Milliers 2 4 3" xfId="267"/>
    <cellStyle name="Milliers 2 4 3 10" xfId="7068"/>
    <cellStyle name="Milliers 2 4 3 2" xfId="479"/>
    <cellStyle name="Milliers 2 4 3 2 2" xfId="1392"/>
    <cellStyle name="Milliers 2 4 3 2 2 2" xfId="3680"/>
    <cellStyle name="Milliers 2 4 3 2 2 3" xfId="5900"/>
    <cellStyle name="Milliers 2 4 3 2 3" xfId="2777"/>
    <cellStyle name="Milliers 2 4 3 2 4" xfId="4997"/>
    <cellStyle name="Milliers 2 4 3 3" xfId="669"/>
    <cellStyle name="Milliers 2 4 3 3 2" xfId="1580"/>
    <cellStyle name="Milliers 2 4 3 3 2 2" xfId="3868"/>
    <cellStyle name="Milliers 2 4 3 3 2 3" xfId="6088"/>
    <cellStyle name="Milliers 2 4 3 3 3" xfId="2965"/>
    <cellStyle name="Milliers 2 4 3 3 4" xfId="5185"/>
    <cellStyle name="Milliers 2 4 3 4" xfId="854"/>
    <cellStyle name="Milliers 2 4 3 4 2" xfId="1765"/>
    <cellStyle name="Milliers 2 4 3 4 2 2" xfId="4053"/>
    <cellStyle name="Milliers 2 4 3 4 2 3" xfId="6273"/>
    <cellStyle name="Milliers 2 4 3 4 3" xfId="3150"/>
    <cellStyle name="Milliers 2 4 3 4 4" xfId="5370"/>
    <cellStyle name="Milliers 2 4 3 5" xfId="2030"/>
    <cellStyle name="Milliers 2 4 3 5 2" xfId="4315"/>
    <cellStyle name="Milliers 2 4 3 5 3" xfId="6535"/>
    <cellStyle name="Milliers 2 4 3 6" xfId="1205"/>
    <cellStyle name="Milliers 2 4 3 6 2" xfId="3493"/>
    <cellStyle name="Milliers 2 4 3 6 3" xfId="5713"/>
    <cellStyle name="Milliers 2 4 3 7" xfId="2590"/>
    <cellStyle name="Milliers 2 4 3 8" xfId="4810"/>
    <cellStyle name="Milliers 2 4 3 9" xfId="6882"/>
    <cellStyle name="Milliers 2 4 4" xfId="264"/>
    <cellStyle name="Milliers 2 4 4 2" xfId="1202"/>
    <cellStyle name="Milliers 2 4 4 2 2" xfId="3490"/>
    <cellStyle name="Milliers 2 4 4 2 3" xfId="5710"/>
    <cellStyle name="Milliers 2 4 4 3" xfId="2587"/>
    <cellStyle name="Milliers 2 4 4 4" xfId="4807"/>
    <cellStyle name="Milliers 2 4 5" xfId="476"/>
    <cellStyle name="Milliers 2 4 5 2" xfId="1389"/>
    <cellStyle name="Milliers 2 4 5 2 2" xfId="3677"/>
    <cellStyle name="Milliers 2 4 5 2 3" xfId="5897"/>
    <cellStyle name="Milliers 2 4 5 3" xfId="2774"/>
    <cellStyle name="Milliers 2 4 5 4" xfId="4994"/>
    <cellStyle name="Milliers 2 4 6" xfId="666"/>
    <cellStyle name="Milliers 2 4 6 2" xfId="1577"/>
    <cellStyle name="Milliers 2 4 6 2 2" xfId="3865"/>
    <cellStyle name="Milliers 2 4 6 2 3" xfId="6085"/>
    <cellStyle name="Milliers 2 4 6 3" xfId="2962"/>
    <cellStyle name="Milliers 2 4 6 4" xfId="5182"/>
    <cellStyle name="Milliers 2 4 7" xfId="851"/>
    <cellStyle name="Milliers 2 4 7 2" xfId="1762"/>
    <cellStyle name="Milliers 2 4 7 2 2" xfId="4050"/>
    <cellStyle name="Milliers 2 4 7 2 3" xfId="6270"/>
    <cellStyle name="Milliers 2 4 7 3" xfId="3147"/>
    <cellStyle name="Milliers 2 4 7 4" xfId="5367"/>
    <cellStyle name="Milliers 2 4 8" xfId="2027"/>
    <cellStyle name="Milliers 2 4 8 2" xfId="4312"/>
    <cellStyle name="Milliers 2 4 8 3" xfId="6532"/>
    <cellStyle name="Milliers 2 4 9" xfId="1037"/>
    <cellStyle name="Milliers 2 4 9 2" xfId="3330"/>
    <cellStyle name="Milliers 2 4 9 3" xfId="5550"/>
    <cellStyle name="Milliers 2 5" xfId="44"/>
    <cellStyle name="Milliers 2 5 2" xfId="126"/>
    <cellStyle name="Milliers 2 5 2 10" xfId="4737"/>
    <cellStyle name="Milliers 2 5 2 11" xfId="6883"/>
    <cellStyle name="Milliers 2 5 2 12" xfId="7069"/>
    <cellStyle name="Milliers 2 5 2 2" xfId="270"/>
    <cellStyle name="Milliers 2 5 2 2 10" xfId="7070"/>
    <cellStyle name="Milliers 2 5 2 2 2" xfId="481"/>
    <cellStyle name="Milliers 2 5 2 2 2 2" xfId="1394"/>
    <cellStyle name="Milliers 2 5 2 2 2 2 2" xfId="3682"/>
    <cellStyle name="Milliers 2 5 2 2 2 2 3" xfId="5902"/>
    <cellStyle name="Milliers 2 5 2 2 2 3" xfId="2779"/>
    <cellStyle name="Milliers 2 5 2 2 2 4" xfId="4999"/>
    <cellStyle name="Milliers 2 5 2 2 3" xfId="671"/>
    <cellStyle name="Milliers 2 5 2 2 3 2" xfId="1582"/>
    <cellStyle name="Milliers 2 5 2 2 3 2 2" xfId="3870"/>
    <cellStyle name="Milliers 2 5 2 2 3 2 3" xfId="6090"/>
    <cellStyle name="Milliers 2 5 2 2 3 3" xfId="2967"/>
    <cellStyle name="Milliers 2 5 2 2 3 4" xfId="5187"/>
    <cellStyle name="Milliers 2 5 2 2 4" xfId="856"/>
    <cellStyle name="Milliers 2 5 2 2 4 2" xfId="1767"/>
    <cellStyle name="Milliers 2 5 2 2 4 2 2" xfId="4055"/>
    <cellStyle name="Milliers 2 5 2 2 4 2 3" xfId="6275"/>
    <cellStyle name="Milliers 2 5 2 2 4 3" xfId="3152"/>
    <cellStyle name="Milliers 2 5 2 2 4 4" xfId="5372"/>
    <cellStyle name="Milliers 2 5 2 2 5" xfId="2032"/>
    <cellStyle name="Milliers 2 5 2 2 5 2" xfId="4317"/>
    <cellStyle name="Milliers 2 5 2 2 5 3" xfId="6537"/>
    <cellStyle name="Milliers 2 5 2 2 6" xfId="1207"/>
    <cellStyle name="Milliers 2 5 2 2 6 2" xfId="3495"/>
    <cellStyle name="Milliers 2 5 2 2 6 3" xfId="5715"/>
    <cellStyle name="Milliers 2 5 2 2 7" xfId="2592"/>
    <cellStyle name="Milliers 2 5 2 2 8" xfId="4812"/>
    <cellStyle name="Milliers 2 5 2 2 9" xfId="6884"/>
    <cellStyle name="Milliers 2 5 2 3" xfId="269"/>
    <cellStyle name="Milliers 2 5 2 3 2" xfId="1206"/>
    <cellStyle name="Milliers 2 5 2 3 2 2" xfId="3494"/>
    <cellStyle name="Milliers 2 5 2 3 2 3" xfId="5714"/>
    <cellStyle name="Milliers 2 5 2 3 3" xfId="2591"/>
    <cellStyle name="Milliers 2 5 2 3 4" xfId="4811"/>
    <cellStyle name="Milliers 2 5 2 4" xfId="480"/>
    <cellStyle name="Milliers 2 5 2 4 2" xfId="1393"/>
    <cellStyle name="Milliers 2 5 2 4 2 2" xfId="3681"/>
    <cellStyle name="Milliers 2 5 2 4 2 3" xfId="5901"/>
    <cellStyle name="Milliers 2 5 2 4 3" xfId="2778"/>
    <cellStyle name="Milliers 2 5 2 4 4" xfId="4998"/>
    <cellStyle name="Milliers 2 5 2 5" xfId="670"/>
    <cellStyle name="Milliers 2 5 2 5 2" xfId="1581"/>
    <cellStyle name="Milliers 2 5 2 5 2 2" xfId="3869"/>
    <cellStyle name="Milliers 2 5 2 5 2 3" xfId="6089"/>
    <cellStyle name="Milliers 2 5 2 5 3" xfId="2966"/>
    <cellStyle name="Milliers 2 5 2 5 4" xfId="5186"/>
    <cellStyle name="Milliers 2 5 2 6" xfId="855"/>
    <cellStyle name="Milliers 2 5 2 6 2" xfId="1766"/>
    <cellStyle name="Milliers 2 5 2 6 2 2" xfId="4054"/>
    <cellStyle name="Milliers 2 5 2 6 2 3" xfId="6274"/>
    <cellStyle name="Milliers 2 5 2 6 3" xfId="3151"/>
    <cellStyle name="Milliers 2 5 2 6 4" xfId="5371"/>
    <cellStyle name="Milliers 2 5 2 7" xfId="2031"/>
    <cellStyle name="Milliers 2 5 2 7 2" xfId="4316"/>
    <cellStyle name="Milliers 2 5 2 7 3" xfId="6536"/>
    <cellStyle name="Milliers 2 5 2 8" xfId="1130"/>
    <cellStyle name="Milliers 2 5 2 8 2" xfId="3421"/>
    <cellStyle name="Milliers 2 5 2 8 3" xfId="5641"/>
    <cellStyle name="Milliers 2 5 2 9" xfId="2518"/>
    <cellStyle name="Milliers 2 5 3" xfId="268"/>
    <cellStyle name="Milliers 2 5 3 2" xfId="1990"/>
    <cellStyle name="Milliers 2 5 3 2 2" xfId="2305"/>
    <cellStyle name="Milliers 2 5 3 2 3" xfId="4276"/>
    <cellStyle name="Milliers 2 5 3 2 4" xfId="6496"/>
    <cellStyle name="Milliers 2 5 4" xfId="2290"/>
    <cellStyle name="Milliers 2 5 4 2" xfId="4508"/>
    <cellStyle name="Milliers 2 5 4 3" xfId="6727"/>
    <cellStyle name="Milliers 2 5 5" xfId="1050"/>
    <cellStyle name="Milliers 2 5 5 2" xfId="3342"/>
    <cellStyle name="Milliers 2 5 5 3" xfId="5562"/>
    <cellStyle name="Milliers 2 5 6" xfId="2439"/>
    <cellStyle name="Milliers 2 5 7" xfId="4656"/>
    <cellStyle name="Milliers 2 6" xfId="56"/>
    <cellStyle name="Milliers 2 6 10" xfId="4668"/>
    <cellStyle name="Milliers 2 6 11" xfId="6885"/>
    <cellStyle name="Milliers 2 6 12" xfId="7071"/>
    <cellStyle name="Milliers 2 6 2" xfId="138"/>
    <cellStyle name="Milliers 2 6 2 10" xfId="6886"/>
    <cellStyle name="Milliers 2 6 2 11" xfId="7072"/>
    <cellStyle name="Milliers 2 6 2 2" xfId="272"/>
    <cellStyle name="Milliers 2 6 2 2 2" xfId="2306"/>
    <cellStyle name="Milliers 2 6 2 2 2 2" xfId="4516"/>
    <cellStyle name="Milliers 2 6 2 2 2 3" xfId="6735"/>
    <cellStyle name="Milliers 2 6 2 2 3" xfId="1209"/>
    <cellStyle name="Milliers 2 6 2 2 3 2" xfId="3497"/>
    <cellStyle name="Milliers 2 6 2 2 3 3" xfId="5717"/>
    <cellStyle name="Milliers 2 6 2 2 4" xfId="2594"/>
    <cellStyle name="Milliers 2 6 2 2 5" xfId="4814"/>
    <cellStyle name="Milliers 2 6 2 3" xfId="483"/>
    <cellStyle name="Milliers 2 6 2 3 2" xfId="1396"/>
    <cellStyle name="Milliers 2 6 2 3 2 2" xfId="3684"/>
    <cellStyle name="Milliers 2 6 2 3 2 3" xfId="5904"/>
    <cellStyle name="Milliers 2 6 2 3 3" xfId="2781"/>
    <cellStyle name="Milliers 2 6 2 3 4" xfId="5001"/>
    <cellStyle name="Milliers 2 6 2 4" xfId="673"/>
    <cellStyle name="Milliers 2 6 2 4 2" xfId="1584"/>
    <cellStyle name="Milliers 2 6 2 4 2 2" xfId="3872"/>
    <cellStyle name="Milliers 2 6 2 4 2 3" xfId="6092"/>
    <cellStyle name="Milliers 2 6 2 4 3" xfId="2969"/>
    <cellStyle name="Milliers 2 6 2 4 4" xfId="5189"/>
    <cellStyle name="Milliers 2 6 2 5" xfId="858"/>
    <cellStyle name="Milliers 2 6 2 5 2" xfId="1769"/>
    <cellStyle name="Milliers 2 6 2 5 2 2" xfId="4057"/>
    <cellStyle name="Milliers 2 6 2 5 2 3" xfId="6277"/>
    <cellStyle name="Milliers 2 6 2 5 3" xfId="3154"/>
    <cellStyle name="Milliers 2 6 2 5 4" xfId="5374"/>
    <cellStyle name="Milliers 2 6 2 6" xfId="2034"/>
    <cellStyle name="Milliers 2 6 2 6 2" xfId="4319"/>
    <cellStyle name="Milliers 2 6 2 6 3" xfId="6539"/>
    <cellStyle name="Milliers 2 6 2 7" xfId="1142"/>
    <cellStyle name="Milliers 2 6 2 7 2" xfId="3433"/>
    <cellStyle name="Milliers 2 6 2 7 3" xfId="5653"/>
    <cellStyle name="Milliers 2 6 2 8" xfId="2530"/>
    <cellStyle name="Milliers 2 6 2 9" xfId="4749"/>
    <cellStyle name="Milliers 2 6 3" xfId="271"/>
    <cellStyle name="Milliers 2 6 3 2" xfId="1947"/>
    <cellStyle name="Milliers 2 6 3 2 2" xfId="4234"/>
    <cellStyle name="Milliers 2 6 3 2 3" xfId="6454"/>
    <cellStyle name="Milliers 2 6 3 3" xfId="1208"/>
    <cellStyle name="Milliers 2 6 3 3 2" xfId="3496"/>
    <cellStyle name="Milliers 2 6 3 3 3" xfId="5716"/>
    <cellStyle name="Milliers 2 6 3 4" xfId="2593"/>
    <cellStyle name="Milliers 2 6 3 5" xfId="4813"/>
    <cellStyle name="Milliers 2 6 4" xfId="482"/>
    <cellStyle name="Milliers 2 6 4 2" xfId="1395"/>
    <cellStyle name="Milliers 2 6 4 2 2" xfId="3683"/>
    <cellStyle name="Milliers 2 6 4 2 3" xfId="5903"/>
    <cellStyle name="Milliers 2 6 4 3" xfId="2780"/>
    <cellStyle name="Milliers 2 6 4 4" xfId="5000"/>
    <cellStyle name="Milliers 2 6 5" xfId="672"/>
    <cellStyle name="Milliers 2 6 5 2" xfId="1583"/>
    <cellStyle name="Milliers 2 6 5 2 2" xfId="3871"/>
    <cellStyle name="Milliers 2 6 5 2 3" xfId="6091"/>
    <cellStyle name="Milliers 2 6 5 3" xfId="2968"/>
    <cellStyle name="Milliers 2 6 5 4" xfId="5188"/>
    <cellStyle name="Milliers 2 6 6" xfId="857"/>
    <cellStyle name="Milliers 2 6 6 2" xfId="1768"/>
    <cellStyle name="Milliers 2 6 6 2 2" xfId="4056"/>
    <cellStyle name="Milliers 2 6 6 2 3" xfId="6276"/>
    <cellStyle name="Milliers 2 6 6 3" xfId="3153"/>
    <cellStyle name="Milliers 2 6 6 4" xfId="5373"/>
    <cellStyle name="Milliers 2 6 7" xfId="2033"/>
    <cellStyle name="Milliers 2 6 7 2" xfId="4318"/>
    <cellStyle name="Milliers 2 6 7 3" xfId="6538"/>
    <cellStyle name="Milliers 2 6 8" xfId="1062"/>
    <cellStyle name="Milliers 2 6 8 2" xfId="3354"/>
    <cellStyle name="Milliers 2 6 8 3" xfId="5574"/>
    <cellStyle name="Milliers 2 6 9" xfId="2451"/>
    <cellStyle name="Milliers 2 7" xfId="68"/>
    <cellStyle name="Milliers 2 7 10" xfId="4680"/>
    <cellStyle name="Milliers 2 7 11" xfId="6887"/>
    <cellStyle name="Milliers 2 7 12" xfId="7073"/>
    <cellStyle name="Milliers 2 7 2" xfId="150"/>
    <cellStyle name="Milliers 2 7 2 10" xfId="6888"/>
    <cellStyle name="Milliers 2 7 2 11" xfId="7074"/>
    <cellStyle name="Milliers 2 7 2 2" xfId="274"/>
    <cellStyle name="Milliers 2 7 2 2 2" xfId="2307"/>
    <cellStyle name="Milliers 2 7 2 2 2 2" xfId="4517"/>
    <cellStyle name="Milliers 2 7 2 2 2 3" xfId="6736"/>
    <cellStyle name="Milliers 2 7 2 2 3" xfId="1211"/>
    <cellStyle name="Milliers 2 7 2 2 3 2" xfId="3499"/>
    <cellStyle name="Milliers 2 7 2 2 3 3" xfId="5719"/>
    <cellStyle name="Milliers 2 7 2 2 4" xfId="2596"/>
    <cellStyle name="Milliers 2 7 2 2 5" xfId="4816"/>
    <cellStyle name="Milliers 2 7 2 3" xfId="485"/>
    <cellStyle name="Milliers 2 7 2 3 2" xfId="1398"/>
    <cellStyle name="Milliers 2 7 2 3 2 2" xfId="3686"/>
    <cellStyle name="Milliers 2 7 2 3 2 3" xfId="5906"/>
    <cellStyle name="Milliers 2 7 2 3 3" xfId="2783"/>
    <cellStyle name="Milliers 2 7 2 3 4" xfId="5003"/>
    <cellStyle name="Milliers 2 7 2 4" xfId="675"/>
    <cellStyle name="Milliers 2 7 2 4 2" xfId="1586"/>
    <cellStyle name="Milliers 2 7 2 4 2 2" xfId="3874"/>
    <cellStyle name="Milliers 2 7 2 4 2 3" xfId="6094"/>
    <cellStyle name="Milliers 2 7 2 4 3" xfId="2971"/>
    <cellStyle name="Milliers 2 7 2 4 4" xfId="5191"/>
    <cellStyle name="Milliers 2 7 2 5" xfId="860"/>
    <cellStyle name="Milliers 2 7 2 5 2" xfId="1771"/>
    <cellStyle name="Milliers 2 7 2 5 2 2" xfId="4059"/>
    <cellStyle name="Milliers 2 7 2 5 2 3" xfId="6279"/>
    <cellStyle name="Milliers 2 7 2 5 3" xfId="3156"/>
    <cellStyle name="Milliers 2 7 2 5 4" xfId="5376"/>
    <cellStyle name="Milliers 2 7 2 6" xfId="2036"/>
    <cellStyle name="Milliers 2 7 2 6 2" xfId="4321"/>
    <cellStyle name="Milliers 2 7 2 6 3" xfId="6541"/>
    <cellStyle name="Milliers 2 7 2 7" xfId="1154"/>
    <cellStyle name="Milliers 2 7 2 7 2" xfId="3445"/>
    <cellStyle name="Milliers 2 7 2 7 3" xfId="5665"/>
    <cellStyle name="Milliers 2 7 2 8" xfId="2542"/>
    <cellStyle name="Milliers 2 7 2 9" xfId="4761"/>
    <cellStyle name="Milliers 2 7 3" xfId="273"/>
    <cellStyle name="Milliers 2 7 3 2" xfId="1982"/>
    <cellStyle name="Milliers 2 7 3 2 2" xfId="4268"/>
    <cellStyle name="Milliers 2 7 3 2 3" xfId="6488"/>
    <cellStyle name="Milliers 2 7 3 3" xfId="1210"/>
    <cellStyle name="Milliers 2 7 3 3 2" xfId="3498"/>
    <cellStyle name="Milliers 2 7 3 3 3" xfId="5718"/>
    <cellStyle name="Milliers 2 7 3 4" xfId="2595"/>
    <cellStyle name="Milliers 2 7 3 5" xfId="4815"/>
    <cellStyle name="Milliers 2 7 4" xfId="484"/>
    <cellStyle name="Milliers 2 7 4 2" xfId="1397"/>
    <cellStyle name="Milliers 2 7 4 2 2" xfId="3685"/>
    <cellStyle name="Milliers 2 7 4 2 3" xfId="5905"/>
    <cellStyle name="Milliers 2 7 4 3" xfId="2782"/>
    <cellStyle name="Milliers 2 7 4 4" xfId="5002"/>
    <cellStyle name="Milliers 2 7 5" xfId="674"/>
    <cellStyle name="Milliers 2 7 5 2" xfId="1585"/>
    <cellStyle name="Milliers 2 7 5 2 2" xfId="3873"/>
    <cellStyle name="Milliers 2 7 5 2 3" xfId="6093"/>
    <cellStyle name="Milliers 2 7 5 3" xfId="2970"/>
    <cellStyle name="Milliers 2 7 5 4" xfId="5190"/>
    <cellStyle name="Milliers 2 7 6" xfId="859"/>
    <cellStyle name="Milliers 2 7 6 2" xfId="1770"/>
    <cellStyle name="Milliers 2 7 6 2 2" xfId="4058"/>
    <cellStyle name="Milliers 2 7 6 2 3" xfId="6278"/>
    <cellStyle name="Milliers 2 7 6 3" xfId="3155"/>
    <cellStyle name="Milliers 2 7 6 4" xfId="5375"/>
    <cellStyle name="Milliers 2 7 7" xfId="2035"/>
    <cellStyle name="Milliers 2 7 7 2" xfId="4320"/>
    <cellStyle name="Milliers 2 7 7 3" xfId="6540"/>
    <cellStyle name="Milliers 2 7 8" xfId="1074"/>
    <cellStyle name="Milliers 2 7 8 2" xfId="3366"/>
    <cellStyle name="Milliers 2 7 8 3" xfId="5586"/>
    <cellStyle name="Milliers 2 7 9" xfId="2463"/>
    <cellStyle name="Milliers 2 8" xfId="80"/>
    <cellStyle name="Milliers 2 8 10" xfId="4692"/>
    <cellStyle name="Milliers 2 8 11" xfId="6889"/>
    <cellStyle name="Milliers 2 8 12" xfId="7075"/>
    <cellStyle name="Milliers 2 8 2" xfId="162"/>
    <cellStyle name="Milliers 2 8 2 10" xfId="6890"/>
    <cellStyle name="Milliers 2 8 2 11" xfId="7076"/>
    <cellStyle name="Milliers 2 8 2 2" xfId="276"/>
    <cellStyle name="Milliers 2 8 2 2 2" xfId="2308"/>
    <cellStyle name="Milliers 2 8 2 2 2 2" xfId="4518"/>
    <cellStyle name="Milliers 2 8 2 2 2 3" xfId="6737"/>
    <cellStyle name="Milliers 2 8 2 2 3" xfId="1213"/>
    <cellStyle name="Milliers 2 8 2 2 3 2" xfId="3501"/>
    <cellStyle name="Milliers 2 8 2 2 3 3" xfId="5721"/>
    <cellStyle name="Milliers 2 8 2 2 4" xfId="2598"/>
    <cellStyle name="Milliers 2 8 2 2 5" xfId="4818"/>
    <cellStyle name="Milliers 2 8 2 3" xfId="487"/>
    <cellStyle name="Milliers 2 8 2 3 2" xfId="1400"/>
    <cellStyle name="Milliers 2 8 2 3 2 2" xfId="3688"/>
    <cellStyle name="Milliers 2 8 2 3 2 3" xfId="5908"/>
    <cellStyle name="Milliers 2 8 2 3 3" xfId="2785"/>
    <cellStyle name="Milliers 2 8 2 3 4" xfId="5005"/>
    <cellStyle name="Milliers 2 8 2 4" xfId="677"/>
    <cellStyle name="Milliers 2 8 2 4 2" xfId="1588"/>
    <cellStyle name="Milliers 2 8 2 4 2 2" xfId="3876"/>
    <cellStyle name="Milliers 2 8 2 4 2 3" xfId="6096"/>
    <cellStyle name="Milliers 2 8 2 4 3" xfId="2973"/>
    <cellStyle name="Milliers 2 8 2 4 4" xfId="5193"/>
    <cellStyle name="Milliers 2 8 2 5" xfId="862"/>
    <cellStyle name="Milliers 2 8 2 5 2" xfId="1773"/>
    <cellStyle name="Milliers 2 8 2 5 2 2" xfId="4061"/>
    <cellStyle name="Milliers 2 8 2 5 2 3" xfId="6281"/>
    <cellStyle name="Milliers 2 8 2 5 3" xfId="3158"/>
    <cellStyle name="Milliers 2 8 2 5 4" xfId="5378"/>
    <cellStyle name="Milliers 2 8 2 6" xfId="2038"/>
    <cellStyle name="Milliers 2 8 2 6 2" xfId="4323"/>
    <cellStyle name="Milliers 2 8 2 6 3" xfId="6543"/>
    <cellStyle name="Milliers 2 8 2 7" xfId="1166"/>
    <cellStyle name="Milliers 2 8 2 7 2" xfId="3457"/>
    <cellStyle name="Milliers 2 8 2 7 3" xfId="5677"/>
    <cellStyle name="Milliers 2 8 2 8" xfId="2554"/>
    <cellStyle name="Milliers 2 8 2 9" xfId="4773"/>
    <cellStyle name="Milliers 2 8 3" xfId="275"/>
    <cellStyle name="Milliers 2 8 3 2" xfId="1976"/>
    <cellStyle name="Milliers 2 8 3 2 2" xfId="4262"/>
    <cellStyle name="Milliers 2 8 3 2 3" xfId="6482"/>
    <cellStyle name="Milliers 2 8 3 3" xfId="1212"/>
    <cellStyle name="Milliers 2 8 3 3 2" xfId="3500"/>
    <cellStyle name="Milliers 2 8 3 3 3" xfId="5720"/>
    <cellStyle name="Milliers 2 8 3 4" xfId="2597"/>
    <cellStyle name="Milliers 2 8 3 5" xfId="4817"/>
    <cellStyle name="Milliers 2 8 4" xfId="486"/>
    <cellStyle name="Milliers 2 8 4 2" xfId="1399"/>
    <cellStyle name="Milliers 2 8 4 2 2" xfId="3687"/>
    <cellStyle name="Milliers 2 8 4 2 3" xfId="5907"/>
    <cellStyle name="Milliers 2 8 4 3" xfId="2784"/>
    <cellStyle name="Milliers 2 8 4 4" xfId="5004"/>
    <cellStyle name="Milliers 2 8 5" xfId="676"/>
    <cellStyle name="Milliers 2 8 5 2" xfId="1587"/>
    <cellStyle name="Milliers 2 8 5 2 2" xfId="3875"/>
    <cellStyle name="Milliers 2 8 5 2 3" xfId="6095"/>
    <cellStyle name="Milliers 2 8 5 3" xfId="2972"/>
    <cellStyle name="Milliers 2 8 5 4" xfId="5192"/>
    <cellStyle name="Milliers 2 8 6" xfId="861"/>
    <cellStyle name="Milliers 2 8 6 2" xfId="1772"/>
    <cellStyle name="Milliers 2 8 6 2 2" xfId="4060"/>
    <cellStyle name="Milliers 2 8 6 2 3" xfId="6280"/>
    <cellStyle name="Milliers 2 8 6 3" xfId="3157"/>
    <cellStyle name="Milliers 2 8 6 4" xfId="5377"/>
    <cellStyle name="Milliers 2 8 7" xfId="2037"/>
    <cellStyle name="Milliers 2 8 7 2" xfId="4322"/>
    <cellStyle name="Milliers 2 8 7 3" xfId="6542"/>
    <cellStyle name="Milliers 2 8 8" xfId="1086"/>
    <cellStyle name="Milliers 2 8 8 2" xfId="3378"/>
    <cellStyle name="Milliers 2 8 8 3" xfId="5598"/>
    <cellStyle name="Milliers 2 8 9" xfId="2475"/>
    <cellStyle name="Milliers 2 9" xfId="100"/>
    <cellStyle name="Milliers 2 9 2" xfId="1978"/>
    <cellStyle name="Milliers 2 9 2 2" xfId="4264"/>
    <cellStyle name="Milliers 2 9 2 3" xfId="6484"/>
    <cellStyle name="Milliers 2 9 3" xfId="1979"/>
    <cellStyle name="Milliers 2 9 3 2" xfId="4265"/>
    <cellStyle name="Milliers 2 9 3 3" xfId="6485"/>
    <cellStyle name="Milliers 2 9 4" xfId="1104"/>
    <cellStyle name="Milliers 2 9 4 2" xfId="3395"/>
    <cellStyle name="Milliers 2 9 4 3" xfId="5615"/>
    <cellStyle name="Milliers 2 9 5" xfId="2389"/>
    <cellStyle name="Milliers 2 9 6" xfId="2492"/>
    <cellStyle name="Milliers 2 9 7" xfId="4711"/>
    <cellStyle name="Milliers 20" xfId="2285"/>
    <cellStyle name="Milliers 21" xfId="2393"/>
    <cellStyle name="Milliers 21 2" xfId="4579"/>
    <cellStyle name="Milliers 21 3" xfId="6799"/>
    <cellStyle name="Milliers 23" xfId="2283"/>
    <cellStyle name="Milliers 3" xfId="10"/>
    <cellStyle name="Milliers 3 10" xfId="488"/>
    <cellStyle name="Milliers 3 10 2" xfId="2361"/>
    <cellStyle name="Milliers 3 10 2 2" xfId="4565"/>
    <cellStyle name="Milliers 3 10 2 3" xfId="6785"/>
    <cellStyle name="Milliers 3 10 3" xfId="1401"/>
    <cellStyle name="Milliers 3 10 3 2" xfId="3689"/>
    <cellStyle name="Milliers 3 10 3 3" xfId="5909"/>
    <cellStyle name="Milliers 3 10 4" xfId="2786"/>
    <cellStyle name="Milliers 3 10 5" xfId="5006"/>
    <cellStyle name="Milliers 3 11" xfId="678"/>
    <cellStyle name="Milliers 3 11 2" xfId="1589"/>
    <cellStyle name="Milliers 3 11 2 2" xfId="3877"/>
    <cellStyle name="Milliers 3 11 2 3" xfId="6097"/>
    <cellStyle name="Milliers 3 11 3" xfId="2974"/>
    <cellStyle name="Milliers 3 11 4" xfId="5194"/>
    <cellStyle name="Milliers 3 12" xfId="863"/>
    <cellStyle name="Milliers 3 12 2" xfId="1774"/>
    <cellStyle name="Milliers 3 12 2 2" xfId="4062"/>
    <cellStyle name="Milliers 3 12 2 3" xfId="6282"/>
    <cellStyle name="Milliers 3 12 3" xfId="3159"/>
    <cellStyle name="Milliers 3 12 4" xfId="5379"/>
    <cellStyle name="Milliers 3 13" xfId="2039"/>
    <cellStyle name="Milliers 3 13 2" xfId="4324"/>
    <cellStyle name="Milliers 3 13 3" xfId="6544"/>
    <cellStyle name="Milliers 3 14" xfId="1025"/>
    <cellStyle name="Milliers 3 14 2" xfId="3319"/>
    <cellStyle name="Milliers 3 14 3" xfId="5539"/>
    <cellStyle name="Milliers 3 15" xfId="2416"/>
    <cellStyle name="Milliers 3 16" xfId="4632"/>
    <cellStyle name="Milliers 3 17" xfId="6891"/>
    <cellStyle name="Milliers 3 18" xfId="7077"/>
    <cellStyle name="Milliers 3 2" xfId="25"/>
    <cellStyle name="Milliers 3 2 10" xfId="679"/>
    <cellStyle name="Milliers 3 2 10 2" xfId="1590"/>
    <cellStyle name="Milliers 3 2 10 2 2" xfId="3878"/>
    <cellStyle name="Milliers 3 2 10 2 3" xfId="6098"/>
    <cellStyle name="Milliers 3 2 10 3" xfId="2975"/>
    <cellStyle name="Milliers 3 2 10 4" xfId="5195"/>
    <cellStyle name="Milliers 3 2 11" xfId="864"/>
    <cellStyle name="Milliers 3 2 11 2" xfId="1775"/>
    <cellStyle name="Milliers 3 2 11 2 2" xfId="4063"/>
    <cellStyle name="Milliers 3 2 11 2 3" xfId="6283"/>
    <cellStyle name="Milliers 3 2 11 3" xfId="3160"/>
    <cellStyle name="Milliers 3 2 11 4" xfId="5380"/>
    <cellStyle name="Milliers 3 2 12" xfId="2040"/>
    <cellStyle name="Milliers 3 2 12 2" xfId="4325"/>
    <cellStyle name="Milliers 3 2 12 3" xfId="6545"/>
    <cellStyle name="Milliers 3 2 13" xfId="1035"/>
    <cellStyle name="Milliers 3 2 13 2" xfId="3328"/>
    <cellStyle name="Milliers 3 2 13 3" xfId="5548"/>
    <cellStyle name="Milliers 3 2 14" xfId="2425"/>
    <cellStyle name="Milliers 3 2 15" xfId="4641"/>
    <cellStyle name="Milliers 3 2 16" xfId="6892"/>
    <cellStyle name="Milliers 3 2 17" xfId="7078"/>
    <cellStyle name="Milliers 3 2 2" xfId="37"/>
    <cellStyle name="Milliers 3 2 2 10" xfId="2436"/>
    <cellStyle name="Milliers 3 2 2 11" xfId="4653"/>
    <cellStyle name="Milliers 3 2 2 12" xfId="6893"/>
    <cellStyle name="Milliers 3 2 2 13" xfId="7079"/>
    <cellStyle name="Milliers 3 2 2 2" xfId="123"/>
    <cellStyle name="Milliers 3 2 2 2 10" xfId="4734"/>
    <cellStyle name="Milliers 3 2 2 2 11" xfId="6894"/>
    <cellStyle name="Milliers 3 2 2 2 12" xfId="7080"/>
    <cellStyle name="Milliers 3 2 2 2 2" xfId="281"/>
    <cellStyle name="Milliers 3 2 2 2 2 10" xfId="7081"/>
    <cellStyle name="Milliers 3 2 2 2 2 2" xfId="492"/>
    <cellStyle name="Milliers 3 2 2 2 2 2 2" xfId="1405"/>
    <cellStyle name="Milliers 3 2 2 2 2 2 2 2" xfId="3693"/>
    <cellStyle name="Milliers 3 2 2 2 2 2 2 3" xfId="5913"/>
    <cellStyle name="Milliers 3 2 2 2 2 2 3" xfId="2790"/>
    <cellStyle name="Milliers 3 2 2 2 2 2 4" xfId="5010"/>
    <cellStyle name="Milliers 3 2 2 2 2 3" xfId="682"/>
    <cellStyle name="Milliers 3 2 2 2 2 3 2" xfId="1593"/>
    <cellStyle name="Milliers 3 2 2 2 2 3 2 2" xfId="3881"/>
    <cellStyle name="Milliers 3 2 2 2 2 3 2 3" xfId="6101"/>
    <cellStyle name="Milliers 3 2 2 2 2 3 3" xfId="2978"/>
    <cellStyle name="Milliers 3 2 2 2 2 3 4" xfId="5198"/>
    <cellStyle name="Milliers 3 2 2 2 2 4" xfId="867"/>
    <cellStyle name="Milliers 3 2 2 2 2 4 2" xfId="1778"/>
    <cellStyle name="Milliers 3 2 2 2 2 4 2 2" xfId="4066"/>
    <cellStyle name="Milliers 3 2 2 2 2 4 2 3" xfId="6286"/>
    <cellStyle name="Milliers 3 2 2 2 2 4 3" xfId="3163"/>
    <cellStyle name="Milliers 3 2 2 2 2 4 4" xfId="5383"/>
    <cellStyle name="Milliers 3 2 2 2 2 5" xfId="2043"/>
    <cellStyle name="Milliers 3 2 2 2 2 5 2" xfId="4328"/>
    <cellStyle name="Milliers 3 2 2 2 2 5 3" xfId="6548"/>
    <cellStyle name="Milliers 3 2 2 2 2 6" xfId="1218"/>
    <cellStyle name="Milliers 3 2 2 2 2 6 2" xfId="3506"/>
    <cellStyle name="Milliers 3 2 2 2 2 6 3" xfId="5726"/>
    <cellStyle name="Milliers 3 2 2 2 2 7" xfId="2603"/>
    <cellStyle name="Milliers 3 2 2 2 2 8" xfId="4823"/>
    <cellStyle name="Milliers 3 2 2 2 2 9" xfId="6895"/>
    <cellStyle name="Milliers 3 2 2 2 3" xfId="280"/>
    <cellStyle name="Milliers 3 2 2 2 3 2" xfId="1217"/>
    <cellStyle name="Milliers 3 2 2 2 3 2 2" xfId="3505"/>
    <cellStyle name="Milliers 3 2 2 2 3 2 3" xfId="5725"/>
    <cellStyle name="Milliers 3 2 2 2 3 3" xfId="2602"/>
    <cellStyle name="Milliers 3 2 2 2 3 4" xfId="4822"/>
    <cellStyle name="Milliers 3 2 2 2 4" xfId="491"/>
    <cellStyle name="Milliers 3 2 2 2 4 2" xfId="1404"/>
    <cellStyle name="Milliers 3 2 2 2 4 2 2" xfId="3692"/>
    <cellStyle name="Milliers 3 2 2 2 4 2 3" xfId="5912"/>
    <cellStyle name="Milliers 3 2 2 2 4 3" xfId="2789"/>
    <cellStyle name="Milliers 3 2 2 2 4 4" xfId="5009"/>
    <cellStyle name="Milliers 3 2 2 2 5" xfId="681"/>
    <cellStyle name="Milliers 3 2 2 2 5 2" xfId="1592"/>
    <cellStyle name="Milliers 3 2 2 2 5 2 2" xfId="3880"/>
    <cellStyle name="Milliers 3 2 2 2 5 2 3" xfId="6100"/>
    <cellStyle name="Milliers 3 2 2 2 5 3" xfId="2977"/>
    <cellStyle name="Milliers 3 2 2 2 5 4" xfId="5197"/>
    <cellStyle name="Milliers 3 2 2 2 6" xfId="866"/>
    <cellStyle name="Milliers 3 2 2 2 6 2" xfId="1777"/>
    <cellStyle name="Milliers 3 2 2 2 6 2 2" xfId="4065"/>
    <cellStyle name="Milliers 3 2 2 2 6 2 3" xfId="6285"/>
    <cellStyle name="Milliers 3 2 2 2 6 3" xfId="3162"/>
    <cellStyle name="Milliers 3 2 2 2 6 4" xfId="5382"/>
    <cellStyle name="Milliers 3 2 2 2 7" xfId="2042"/>
    <cellStyle name="Milliers 3 2 2 2 7 2" xfId="4327"/>
    <cellStyle name="Milliers 3 2 2 2 7 3" xfId="6547"/>
    <cellStyle name="Milliers 3 2 2 2 8" xfId="1127"/>
    <cellStyle name="Milliers 3 2 2 2 8 2" xfId="3418"/>
    <cellStyle name="Milliers 3 2 2 2 8 3" xfId="5638"/>
    <cellStyle name="Milliers 3 2 2 2 9" xfId="2515"/>
    <cellStyle name="Milliers 3 2 2 3" xfId="282"/>
    <cellStyle name="Milliers 3 2 2 3 10" xfId="7082"/>
    <cellStyle name="Milliers 3 2 2 3 2" xfId="493"/>
    <cellStyle name="Milliers 3 2 2 3 2 2" xfId="1406"/>
    <cellStyle name="Milliers 3 2 2 3 2 2 2" xfId="3694"/>
    <cellStyle name="Milliers 3 2 2 3 2 2 3" xfId="5914"/>
    <cellStyle name="Milliers 3 2 2 3 2 3" xfId="2791"/>
    <cellStyle name="Milliers 3 2 2 3 2 4" xfId="5011"/>
    <cellStyle name="Milliers 3 2 2 3 3" xfId="683"/>
    <cellStyle name="Milliers 3 2 2 3 3 2" xfId="1594"/>
    <cellStyle name="Milliers 3 2 2 3 3 2 2" xfId="3882"/>
    <cellStyle name="Milliers 3 2 2 3 3 2 3" xfId="6102"/>
    <cellStyle name="Milliers 3 2 2 3 3 3" xfId="2979"/>
    <cellStyle name="Milliers 3 2 2 3 3 4" xfId="5199"/>
    <cellStyle name="Milliers 3 2 2 3 4" xfId="868"/>
    <cellStyle name="Milliers 3 2 2 3 4 2" xfId="1779"/>
    <cellStyle name="Milliers 3 2 2 3 4 2 2" xfId="4067"/>
    <cellStyle name="Milliers 3 2 2 3 4 2 3" xfId="6287"/>
    <cellStyle name="Milliers 3 2 2 3 4 3" xfId="3164"/>
    <cellStyle name="Milliers 3 2 2 3 4 4" xfId="5384"/>
    <cellStyle name="Milliers 3 2 2 3 5" xfId="2044"/>
    <cellStyle name="Milliers 3 2 2 3 5 2" xfId="4329"/>
    <cellStyle name="Milliers 3 2 2 3 5 3" xfId="6549"/>
    <cellStyle name="Milliers 3 2 2 3 6" xfId="1219"/>
    <cellStyle name="Milliers 3 2 2 3 6 2" xfId="3507"/>
    <cellStyle name="Milliers 3 2 2 3 6 3" xfId="5727"/>
    <cellStyle name="Milliers 3 2 2 3 7" xfId="2604"/>
    <cellStyle name="Milliers 3 2 2 3 8" xfId="4824"/>
    <cellStyle name="Milliers 3 2 2 3 9" xfId="6896"/>
    <cellStyle name="Milliers 3 2 2 4" xfId="279"/>
    <cellStyle name="Milliers 3 2 2 4 2" xfId="1216"/>
    <cellStyle name="Milliers 3 2 2 4 2 2" xfId="3504"/>
    <cellStyle name="Milliers 3 2 2 4 2 3" xfId="5724"/>
    <cellStyle name="Milliers 3 2 2 4 3" xfId="2601"/>
    <cellStyle name="Milliers 3 2 2 4 4" xfId="4821"/>
    <cellStyle name="Milliers 3 2 2 5" xfId="490"/>
    <cellStyle name="Milliers 3 2 2 5 2" xfId="1403"/>
    <cellStyle name="Milliers 3 2 2 5 2 2" xfId="3691"/>
    <cellStyle name="Milliers 3 2 2 5 2 3" xfId="5911"/>
    <cellStyle name="Milliers 3 2 2 5 3" xfId="2788"/>
    <cellStyle name="Milliers 3 2 2 5 4" xfId="5008"/>
    <cellStyle name="Milliers 3 2 2 6" xfId="680"/>
    <cellStyle name="Milliers 3 2 2 6 2" xfId="1591"/>
    <cellStyle name="Milliers 3 2 2 6 2 2" xfId="3879"/>
    <cellStyle name="Milliers 3 2 2 6 2 3" xfId="6099"/>
    <cellStyle name="Milliers 3 2 2 6 3" xfId="2976"/>
    <cellStyle name="Milliers 3 2 2 6 4" xfId="5196"/>
    <cellStyle name="Milliers 3 2 2 7" xfId="865"/>
    <cellStyle name="Milliers 3 2 2 7 2" xfId="1776"/>
    <cellStyle name="Milliers 3 2 2 7 2 2" xfId="4064"/>
    <cellStyle name="Milliers 3 2 2 7 2 3" xfId="6284"/>
    <cellStyle name="Milliers 3 2 2 7 3" xfId="3161"/>
    <cellStyle name="Milliers 3 2 2 7 4" xfId="5381"/>
    <cellStyle name="Milliers 3 2 2 8" xfId="2041"/>
    <cellStyle name="Milliers 3 2 2 8 2" xfId="4326"/>
    <cellStyle name="Milliers 3 2 2 8 3" xfId="6546"/>
    <cellStyle name="Milliers 3 2 2 9" xfId="1046"/>
    <cellStyle name="Milliers 3 2 2 9 2" xfId="3339"/>
    <cellStyle name="Milliers 3 2 2 9 3" xfId="5559"/>
    <cellStyle name="Milliers 3 2 3" xfId="53"/>
    <cellStyle name="Milliers 3 2 3 10" xfId="4665"/>
    <cellStyle name="Milliers 3 2 3 11" xfId="6897"/>
    <cellStyle name="Milliers 3 2 3 12" xfId="7083"/>
    <cellStyle name="Milliers 3 2 3 2" xfId="135"/>
    <cellStyle name="Milliers 3 2 3 2 10" xfId="6898"/>
    <cellStyle name="Milliers 3 2 3 2 11" xfId="7084"/>
    <cellStyle name="Milliers 3 2 3 2 2" xfId="284"/>
    <cellStyle name="Milliers 3 2 3 2 2 2" xfId="2310"/>
    <cellStyle name="Milliers 3 2 3 2 2 2 2" xfId="4520"/>
    <cellStyle name="Milliers 3 2 3 2 2 2 3" xfId="6739"/>
    <cellStyle name="Milliers 3 2 3 2 2 3" xfId="1221"/>
    <cellStyle name="Milliers 3 2 3 2 2 3 2" xfId="3509"/>
    <cellStyle name="Milliers 3 2 3 2 2 3 3" xfId="5729"/>
    <cellStyle name="Milliers 3 2 3 2 2 4" xfId="2606"/>
    <cellStyle name="Milliers 3 2 3 2 2 5" xfId="4826"/>
    <cellStyle name="Milliers 3 2 3 2 3" xfId="495"/>
    <cellStyle name="Milliers 3 2 3 2 3 2" xfId="1408"/>
    <cellStyle name="Milliers 3 2 3 2 3 2 2" xfId="3696"/>
    <cellStyle name="Milliers 3 2 3 2 3 2 3" xfId="5916"/>
    <cellStyle name="Milliers 3 2 3 2 3 3" xfId="2793"/>
    <cellStyle name="Milliers 3 2 3 2 3 4" xfId="5013"/>
    <cellStyle name="Milliers 3 2 3 2 4" xfId="685"/>
    <cellStyle name="Milliers 3 2 3 2 4 2" xfId="1596"/>
    <cellStyle name="Milliers 3 2 3 2 4 2 2" xfId="3884"/>
    <cellStyle name="Milliers 3 2 3 2 4 2 3" xfId="6104"/>
    <cellStyle name="Milliers 3 2 3 2 4 3" xfId="2981"/>
    <cellStyle name="Milliers 3 2 3 2 4 4" xfId="5201"/>
    <cellStyle name="Milliers 3 2 3 2 5" xfId="870"/>
    <cellStyle name="Milliers 3 2 3 2 5 2" xfId="1781"/>
    <cellStyle name="Milliers 3 2 3 2 5 2 2" xfId="4069"/>
    <cellStyle name="Milliers 3 2 3 2 5 2 3" xfId="6289"/>
    <cellStyle name="Milliers 3 2 3 2 5 3" xfId="3166"/>
    <cellStyle name="Milliers 3 2 3 2 5 4" xfId="5386"/>
    <cellStyle name="Milliers 3 2 3 2 6" xfId="2046"/>
    <cellStyle name="Milliers 3 2 3 2 6 2" xfId="4331"/>
    <cellStyle name="Milliers 3 2 3 2 6 3" xfId="6551"/>
    <cellStyle name="Milliers 3 2 3 2 7" xfId="1139"/>
    <cellStyle name="Milliers 3 2 3 2 7 2" xfId="3430"/>
    <cellStyle name="Milliers 3 2 3 2 7 3" xfId="5650"/>
    <cellStyle name="Milliers 3 2 3 2 8" xfId="2527"/>
    <cellStyle name="Milliers 3 2 3 2 9" xfId="4746"/>
    <cellStyle name="Milliers 3 2 3 3" xfId="283"/>
    <cellStyle name="Milliers 3 2 3 3 2" xfId="1995"/>
    <cellStyle name="Milliers 3 2 3 3 2 2" xfId="4280"/>
    <cellStyle name="Milliers 3 2 3 3 2 3" xfId="6500"/>
    <cellStyle name="Milliers 3 2 3 3 3" xfId="1220"/>
    <cellStyle name="Milliers 3 2 3 3 3 2" xfId="3508"/>
    <cellStyle name="Milliers 3 2 3 3 3 3" xfId="5728"/>
    <cellStyle name="Milliers 3 2 3 3 4" xfId="2605"/>
    <cellStyle name="Milliers 3 2 3 3 5" xfId="4825"/>
    <cellStyle name="Milliers 3 2 3 4" xfId="494"/>
    <cellStyle name="Milliers 3 2 3 4 2" xfId="1407"/>
    <cellStyle name="Milliers 3 2 3 4 2 2" xfId="3695"/>
    <cellStyle name="Milliers 3 2 3 4 2 3" xfId="5915"/>
    <cellStyle name="Milliers 3 2 3 4 3" xfId="2792"/>
    <cellStyle name="Milliers 3 2 3 4 4" xfId="5012"/>
    <cellStyle name="Milliers 3 2 3 5" xfId="684"/>
    <cellStyle name="Milliers 3 2 3 5 2" xfId="1595"/>
    <cellStyle name="Milliers 3 2 3 5 2 2" xfId="3883"/>
    <cellStyle name="Milliers 3 2 3 5 2 3" xfId="6103"/>
    <cellStyle name="Milliers 3 2 3 5 3" xfId="2980"/>
    <cellStyle name="Milliers 3 2 3 5 4" xfId="5200"/>
    <cellStyle name="Milliers 3 2 3 6" xfId="869"/>
    <cellStyle name="Milliers 3 2 3 6 2" xfId="1780"/>
    <cellStyle name="Milliers 3 2 3 6 2 2" xfId="4068"/>
    <cellStyle name="Milliers 3 2 3 6 2 3" xfId="6288"/>
    <cellStyle name="Milliers 3 2 3 6 3" xfId="3165"/>
    <cellStyle name="Milliers 3 2 3 6 4" xfId="5385"/>
    <cellStyle name="Milliers 3 2 3 7" xfId="2045"/>
    <cellStyle name="Milliers 3 2 3 7 2" xfId="4330"/>
    <cellStyle name="Milliers 3 2 3 7 3" xfId="6550"/>
    <cellStyle name="Milliers 3 2 3 8" xfId="1059"/>
    <cellStyle name="Milliers 3 2 3 8 2" xfId="3351"/>
    <cellStyle name="Milliers 3 2 3 8 3" xfId="5571"/>
    <cellStyle name="Milliers 3 2 3 9" xfId="2448"/>
    <cellStyle name="Milliers 3 2 4" xfId="65"/>
    <cellStyle name="Milliers 3 2 4 10" xfId="4677"/>
    <cellStyle name="Milliers 3 2 4 11" xfId="6899"/>
    <cellStyle name="Milliers 3 2 4 12" xfId="7085"/>
    <cellStyle name="Milliers 3 2 4 2" xfId="147"/>
    <cellStyle name="Milliers 3 2 4 2 10" xfId="6900"/>
    <cellStyle name="Milliers 3 2 4 2 11" xfId="7086"/>
    <cellStyle name="Milliers 3 2 4 2 2" xfId="286"/>
    <cellStyle name="Milliers 3 2 4 2 2 2" xfId="2311"/>
    <cellStyle name="Milliers 3 2 4 2 2 2 2" xfId="4521"/>
    <cellStyle name="Milliers 3 2 4 2 2 2 3" xfId="6740"/>
    <cellStyle name="Milliers 3 2 4 2 2 3" xfId="1223"/>
    <cellStyle name="Milliers 3 2 4 2 2 3 2" xfId="3511"/>
    <cellStyle name="Milliers 3 2 4 2 2 3 3" xfId="5731"/>
    <cellStyle name="Milliers 3 2 4 2 2 4" xfId="2608"/>
    <cellStyle name="Milliers 3 2 4 2 2 5" xfId="4828"/>
    <cellStyle name="Milliers 3 2 4 2 3" xfId="497"/>
    <cellStyle name="Milliers 3 2 4 2 3 2" xfId="1410"/>
    <cellStyle name="Milliers 3 2 4 2 3 2 2" xfId="3698"/>
    <cellStyle name="Milliers 3 2 4 2 3 2 3" xfId="5918"/>
    <cellStyle name="Milliers 3 2 4 2 3 3" xfId="2795"/>
    <cellStyle name="Milliers 3 2 4 2 3 4" xfId="5015"/>
    <cellStyle name="Milliers 3 2 4 2 4" xfId="687"/>
    <cellStyle name="Milliers 3 2 4 2 4 2" xfId="1598"/>
    <cellStyle name="Milliers 3 2 4 2 4 2 2" xfId="3886"/>
    <cellStyle name="Milliers 3 2 4 2 4 2 3" xfId="6106"/>
    <cellStyle name="Milliers 3 2 4 2 4 3" xfId="2983"/>
    <cellStyle name="Milliers 3 2 4 2 4 4" xfId="5203"/>
    <cellStyle name="Milliers 3 2 4 2 5" xfId="872"/>
    <cellStyle name="Milliers 3 2 4 2 5 2" xfId="1783"/>
    <cellStyle name="Milliers 3 2 4 2 5 2 2" xfId="4071"/>
    <cellStyle name="Milliers 3 2 4 2 5 2 3" xfId="6291"/>
    <cellStyle name="Milliers 3 2 4 2 5 3" xfId="3168"/>
    <cellStyle name="Milliers 3 2 4 2 5 4" xfId="5388"/>
    <cellStyle name="Milliers 3 2 4 2 6" xfId="2048"/>
    <cellStyle name="Milliers 3 2 4 2 6 2" xfId="4333"/>
    <cellStyle name="Milliers 3 2 4 2 6 3" xfId="6553"/>
    <cellStyle name="Milliers 3 2 4 2 7" xfId="1151"/>
    <cellStyle name="Milliers 3 2 4 2 7 2" xfId="3442"/>
    <cellStyle name="Milliers 3 2 4 2 7 3" xfId="5662"/>
    <cellStyle name="Milliers 3 2 4 2 8" xfId="2539"/>
    <cellStyle name="Milliers 3 2 4 2 9" xfId="4758"/>
    <cellStyle name="Milliers 3 2 4 3" xfId="285"/>
    <cellStyle name="Milliers 3 2 4 3 2" xfId="1999"/>
    <cellStyle name="Milliers 3 2 4 3 2 2" xfId="4284"/>
    <cellStyle name="Milliers 3 2 4 3 2 3" xfId="6504"/>
    <cellStyle name="Milliers 3 2 4 3 3" xfId="1222"/>
    <cellStyle name="Milliers 3 2 4 3 3 2" xfId="3510"/>
    <cellStyle name="Milliers 3 2 4 3 3 3" xfId="5730"/>
    <cellStyle name="Milliers 3 2 4 3 4" xfId="2607"/>
    <cellStyle name="Milliers 3 2 4 3 5" xfId="4827"/>
    <cellStyle name="Milliers 3 2 4 4" xfId="496"/>
    <cellStyle name="Milliers 3 2 4 4 2" xfId="1409"/>
    <cellStyle name="Milliers 3 2 4 4 2 2" xfId="3697"/>
    <cellStyle name="Milliers 3 2 4 4 2 3" xfId="5917"/>
    <cellStyle name="Milliers 3 2 4 4 3" xfId="2794"/>
    <cellStyle name="Milliers 3 2 4 4 4" xfId="5014"/>
    <cellStyle name="Milliers 3 2 4 5" xfId="686"/>
    <cellStyle name="Milliers 3 2 4 5 2" xfId="1597"/>
    <cellStyle name="Milliers 3 2 4 5 2 2" xfId="3885"/>
    <cellStyle name="Milliers 3 2 4 5 2 3" xfId="6105"/>
    <cellStyle name="Milliers 3 2 4 5 3" xfId="2982"/>
    <cellStyle name="Milliers 3 2 4 5 4" xfId="5202"/>
    <cellStyle name="Milliers 3 2 4 6" xfId="871"/>
    <cellStyle name="Milliers 3 2 4 6 2" xfId="1782"/>
    <cellStyle name="Milliers 3 2 4 6 2 2" xfId="4070"/>
    <cellStyle name="Milliers 3 2 4 6 2 3" xfId="6290"/>
    <cellStyle name="Milliers 3 2 4 6 3" xfId="3167"/>
    <cellStyle name="Milliers 3 2 4 6 4" xfId="5387"/>
    <cellStyle name="Milliers 3 2 4 7" xfId="2047"/>
    <cellStyle name="Milliers 3 2 4 7 2" xfId="4332"/>
    <cellStyle name="Milliers 3 2 4 7 3" xfId="6552"/>
    <cellStyle name="Milliers 3 2 4 8" xfId="1071"/>
    <cellStyle name="Milliers 3 2 4 8 2" xfId="3363"/>
    <cellStyle name="Milliers 3 2 4 8 3" xfId="5583"/>
    <cellStyle name="Milliers 3 2 4 9" xfId="2460"/>
    <cellStyle name="Milliers 3 2 5" xfId="77"/>
    <cellStyle name="Milliers 3 2 5 10" xfId="4689"/>
    <cellStyle name="Milliers 3 2 5 11" xfId="6901"/>
    <cellStyle name="Milliers 3 2 5 12" xfId="7087"/>
    <cellStyle name="Milliers 3 2 5 2" xfId="159"/>
    <cellStyle name="Milliers 3 2 5 2 10" xfId="6902"/>
    <cellStyle name="Milliers 3 2 5 2 11" xfId="7088"/>
    <cellStyle name="Milliers 3 2 5 2 2" xfId="288"/>
    <cellStyle name="Milliers 3 2 5 2 2 2" xfId="2312"/>
    <cellStyle name="Milliers 3 2 5 2 2 2 2" xfId="4522"/>
    <cellStyle name="Milliers 3 2 5 2 2 2 3" xfId="6741"/>
    <cellStyle name="Milliers 3 2 5 2 2 3" xfId="1225"/>
    <cellStyle name="Milliers 3 2 5 2 2 3 2" xfId="3513"/>
    <cellStyle name="Milliers 3 2 5 2 2 3 3" xfId="5733"/>
    <cellStyle name="Milliers 3 2 5 2 2 4" xfId="2610"/>
    <cellStyle name="Milliers 3 2 5 2 2 5" xfId="4830"/>
    <cellStyle name="Milliers 3 2 5 2 3" xfId="499"/>
    <cellStyle name="Milliers 3 2 5 2 3 2" xfId="1412"/>
    <cellStyle name="Milliers 3 2 5 2 3 2 2" xfId="3700"/>
    <cellStyle name="Milliers 3 2 5 2 3 2 3" xfId="5920"/>
    <cellStyle name="Milliers 3 2 5 2 3 3" xfId="2797"/>
    <cellStyle name="Milliers 3 2 5 2 3 4" xfId="5017"/>
    <cellStyle name="Milliers 3 2 5 2 4" xfId="689"/>
    <cellStyle name="Milliers 3 2 5 2 4 2" xfId="1600"/>
    <cellStyle name="Milliers 3 2 5 2 4 2 2" xfId="3888"/>
    <cellStyle name="Milliers 3 2 5 2 4 2 3" xfId="6108"/>
    <cellStyle name="Milliers 3 2 5 2 4 3" xfId="2985"/>
    <cellStyle name="Milliers 3 2 5 2 4 4" xfId="5205"/>
    <cellStyle name="Milliers 3 2 5 2 5" xfId="874"/>
    <cellStyle name="Milliers 3 2 5 2 5 2" xfId="1785"/>
    <cellStyle name="Milliers 3 2 5 2 5 2 2" xfId="4073"/>
    <cellStyle name="Milliers 3 2 5 2 5 2 3" xfId="6293"/>
    <cellStyle name="Milliers 3 2 5 2 5 3" xfId="3170"/>
    <cellStyle name="Milliers 3 2 5 2 5 4" xfId="5390"/>
    <cellStyle name="Milliers 3 2 5 2 6" xfId="2050"/>
    <cellStyle name="Milliers 3 2 5 2 6 2" xfId="4335"/>
    <cellStyle name="Milliers 3 2 5 2 6 3" xfId="6555"/>
    <cellStyle name="Milliers 3 2 5 2 7" xfId="1163"/>
    <cellStyle name="Milliers 3 2 5 2 7 2" xfId="3454"/>
    <cellStyle name="Milliers 3 2 5 2 7 3" xfId="5674"/>
    <cellStyle name="Milliers 3 2 5 2 8" xfId="2551"/>
    <cellStyle name="Milliers 3 2 5 2 9" xfId="4770"/>
    <cellStyle name="Milliers 3 2 5 3" xfId="287"/>
    <cellStyle name="Milliers 3 2 5 3 2" xfId="2006"/>
    <cellStyle name="Milliers 3 2 5 3 2 2" xfId="4291"/>
    <cellStyle name="Milliers 3 2 5 3 2 3" xfId="6511"/>
    <cellStyle name="Milliers 3 2 5 3 3" xfId="1224"/>
    <cellStyle name="Milliers 3 2 5 3 3 2" xfId="3512"/>
    <cellStyle name="Milliers 3 2 5 3 3 3" xfId="5732"/>
    <cellStyle name="Milliers 3 2 5 3 4" xfId="2609"/>
    <cellStyle name="Milliers 3 2 5 3 5" xfId="4829"/>
    <cellStyle name="Milliers 3 2 5 4" xfId="498"/>
    <cellStyle name="Milliers 3 2 5 4 2" xfId="1411"/>
    <cellStyle name="Milliers 3 2 5 4 2 2" xfId="3699"/>
    <cellStyle name="Milliers 3 2 5 4 2 3" xfId="5919"/>
    <cellStyle name="Milliers 3 2 5 4 3" xfId="2796"/>
    <cellStyle name="Milliers 3 2 5 4 4" xfId="5016"/>
    <cellStyle name="Milliers 3 2 5 5" xfId="688"/>
    <cellStyle name="Milliers 3 2 5 5 2" xfId="1599"/>
    <cellStyle name="Milliers 3 2 5 5 2 2" xfId="3887"/>
    <cellStyle name="Milliers 3 2 5 5 2 3" xfId="6107"/>
    <cellStyle name="Milliers 3 2 5 5 3" xfId="2984"/>
    <cellStyle name="Milliers 3 2 5 5 4" xfId="5204"/>
    <cellStyle name="Milliers 3 2 5 6" xfId="873"/>
    <cellStyle name="Milliers 3 2 5 6 2" xfId="1784"/>
    <cellStyle name="Milliers 3 2 5 6 2 2" xfId="4072"/>
    <cellStyle name="Milliers 3 2 5 6 2 3" xfId="6292"/>
    <cellStyle name="Milliers 3 2 5 6 3" xfId="3169"/>
    <cellStyle name="Milliers 3 2 5 6 4" xfId="5389"/>
    <cellStyle name="Milliers 3 2 5 7" xfId="2049"/>
    <cellStyle name="Milliers 3 2 5 7 2" xfId="4334"/>
    <cellStyle name="Milliers 3 2 5 7 3" xfId="6554"/>
    <cellStyle name="Milliers 3 2 5 8" xfId="1083"/>
    <cellStyle name="Milliers 3 2 5 8 2" xfId="3375"/>
    <cellStyle name="Milliers 3 2 5 8 3" xfId="5595"/>
    <cellStyle name="Milliers 3 2 5 9" xfId="2472"/>
    <cellStyle name="Milliers 3 2 6" xfId="89"/>
    <cellStyle name="Milliers 3 2 6 10" xfId="4701"/>
    <cellStyle name="Milliers 3 2 6 11" xfId="6903"/>
    <cellStyle name="Milliers 3 2 6 12" xfId="7089"/>
    <cellStyle name="Milliers 3 2 6 2" xfId="171"/>
    <cellStyle name="Milliers 3 2 6 2 10" xfId="6904"/>
    <cellStyle name="Milliers 3 2 6 2 11" xfId="7090"/>
    <cellStyle name="Milliers 3 2 6 2 2" xfId="290"/>
    <cellStyle name="Milliers 3 2 6 2 2 2" xfId="2313"/>
    <cellStyle name="Milliers 3 2 6 2 2 2 2" xfId="4523"/>
    <cellStyle name="Milliers 3 2 6 2 2 2 3" xfId="6742"/>
    <cellStyle name="Milliers 3 2 6 2 2 3" xfId="1227"/>
    <cellStyle name="Milliers 3 2 6 2 2 3 2" xfId="3515"/>
    <cellStyle name="Milliers 3 2 6 2 2 3 3" xfId="5735"/>
    <cellStyle name="Milliers 3 2 6 2 2 4" xfId="2612"/>
    <cellStyle name="Milliers 3 2 6 2 2 5" xfId="4832"/>
    <cellStyle name="Milliers 3 2 6 2 3" xfId="501"/>
    <cellStyle name="Milliers 3 2 6 2 3 2" xfId="1414"/>
    <cellStyle name="Milliers 3 2 6 2 3 2 2" xfId="3702"/>
    <cellStyle name="Milliers 3 2 6 2 3 2 3" xfId="5922"/>
    <cellStyle name="Milliers 3 2 6 2 3 3" xfId="2799"/>
    <cellStyle name="Milliers 3 2 6 2 3 4" xfId="5019"/>
    <cellStyle name="Milliers 3 2 6 2 4" xfId="691"/>
    <cellStyle name="Milliers 3 2 6 2 4 2" xfId="1602"/>
    <cellStyle name="Milliers 3 2 6 2 4 2 2" xfId="3890"/>
    <cellStyle name="Milliers 3 2 6 2 4 2 3" xfId="6110"/>
    <cellStyle name="Milliers 3 2 6 2 4 3" xfId="2987"/>
    <cellStyle name="Milliers 3 2 6 2 4 4" xfId="5207"/>
    <cellStyle name="Milliers 3 2 6 2 5" xfId="876"/>
    <cellStyle name="Milliers 3 2 6 2 5 2" xfId="1787"/>
    <cellStyle name="Milliers 3 2 6 2 5 2 2" xfId="4075"/>
    <cellStyle name="Milliers 3 2 6 2 5 2 3" xfId="6295"/>
    <cellStyle name="Milliers 3 2 6 2 5 3" xfId="3172"/>
    <cellStyle name="Milliers 3 2 6 2 5 4" xfId="5392"/>
    <cellStyle name="Milliers 3 2 6 2 6" xfId="2052"/>
    <cellStyle name="Milliers 3 2 6 2 6 2" xfId="4337"/>
    <cellStyle name="Milliers 3 2 6 2 6 3" xfId="6557"/>
    <cellStyle name="Milliers 3 2 6 2 7" xfId="1175"/>
    <cellStyle name="Milliers 3 2 6 2 7 2" xfId="3466"/>
    <cellStyle name="Milliers 3 2 6 2 7 3" xfId="5686"/>
    <cellStyle name="Milliers 3 2 6 2 8" xfId="2563"/>
    <cellStyle name="Milliers 3 2 6 2 9" xfId="4782"/>
    <cellStyle name="Milliers 3 2 6 3" xfId="289"/>
    <cellStyle name="Milliers 3 2 6 3 2" xfId="1927"/>
    <cellStyle name="Milliers 3 2 6 3 2 2" xfId="4215"/>
    <cellStyle name="Milliers 3 2 6 3 2 3" xfId="6435"/>
    <cellStyle name="Milliers 3 2 6 3 3" xfId="1226"/>
    <cellStyle name="Milliers 3 2 6 3 3 2" xfId="3514"/>
    <cellStyle name="Milliers 3 2 6 3 3 3" xfId="5734"/>
    <cellStyle name="Milliers 3 2 6 3 4" xfId="2611"/>
    <cellStyle name="Milliers 3 2 6 3 5" xfId="4831"/>
    <cellStyle name="Milliers 3 2 6 4" xfId="500"/>
    <cellStyle name="Milliers 3 2 6 4 2" xfId="1413"/>
    <cellStyle name="Milliers 3 2 6 4 2 2" xfId="3701"/>
    <cellStyle name="Milliers 3 2 6 4 2 3" xfId="5921"/>
    <cellStyle name="Milliers 3 2 6 4 3" xfId="2798"/>
    <cellStyle name="Milliers 3 2 6 4 4" xfId="5018"/>
    <cellStyle name="Milliers 3 2 6 5" xfId="690"/>
    <cellStyle name="Milliers 3 2 6 5 2" xfId="1601"/>
    <cellStyle name="Milliers 3 2 6 5 2 2" xfId="3889"/>
    <cellStyle name="Milliers 3 2 6 5 2 3" xfId="6109"/>
    <cellStyle name="Milliers 3 2 6 5 3" xfId="2986"/>
    <cellStyle name="Milliers 3 2 6 5 4" xfId="5206"/>
    <cellStyle name="Milliers 3 2 6 6" xfId="875"/>
    <cellStyle name="Milliers 3 2 6 6 2" xfId="1786"/>
    <cellStyle name="Milliers 3 2 6 6 2 2" xfId="4074"/>
    <cellStyle name="Milliers 3 2 6 6 2 3" xfId="6294"/>
    <cellStyle name="Milliers 3 2 6 6 3" xfId="3171"/>
    <cellStyle name="Milliers 3 2 6 6 4" xfId="5391"/>
    <cellStyle name="Milliers 3 2 6 7" xfId="2051"/>
    <cellStyle name="Milliers 3 2 6 7 2" xfId="4336"/>
    <cellStyle name="Milliers 3 2 6 7 3" xfId="6556"/>
    <cellStyle name="Milliers 3 2 6 8" xfId="1095"/>
    <cellStyle name="Milliers 3 2 6 8 2" xfId="3387"/>
    <cellStyle name="Milliers 3 2 6 8 3" xfId="5607"/>
    <cellStyle name="Milliers 3 2 6 9" xfId="2484"/>
    <cellStyle name="Milliers 3 2 7" xfId="112"/>
    <cellStyle name="Milliers 3 2 7 10" xfId="6905"/>
    <cellStyle name="Milliers 3 2 7 11" xfId="7091"/>
    <cellStyle name="Milliers 3 2 7 2" xfId="291"/>
    <cellStyle name="Milliers 3 2 7 2 2" xfId="1963"/>
    <cellStyle name="Milliers 3 2 7 2 2 2" xfId="4249"/>
    <cellStyle name="Milliers 3 2 7 2 2 3" xfId="6469"/>
    <cellStyle name="Milliers 3 2 7 2 3" xfId="1228"/>
    <cellStyle name="Milliers 3 2 7 2 3 2" xfId="3516"/>
    <cellStyle name="Milliers 3 2 7 2 3 3" xfId="5736"/>
    <cellStyle name="Milliers 3 2 7 2 4" xfId="2613"/>
    <cellStyle name="Milliers 3 2 7 2 5" xfId="4833"/>
    <cellStyle name="Milliers 3 2 7 3" xfId="502"/>
    <cellStyle name="Milliers 3 2 7 3 2" xfId="1415"/>
    <cellStyle name="Milliers 3 2 7 3 2 2" xfId="3703"/>
    <cellStyle name="Milliers 3 2 7 3 2 3" xfId="5923"/>
    <cellStyle name="Milliers 3 2 7 3 3" xfId="2800"/>
    <cellStyle name="Milliers 3 2 7 3 4" xfId="5020"/>
    <cellStyle name="Milliers 3 2 7 4" xfId="692"/>
    <cellStyle name="Milliers 3 2 7 4 2" xfId="1603"/>
    <cellStyle name="Milliers 3 2 7 4 2 2" xfId="3891"/>
    <cellStyle name="Milliers 3 2 7 4 2 3" xfId="6111"/>
    <cellStyle name="Milliers 3 2 7 4 3" xfId="2988"/>
    <cellStyle name="Milliers 3 2 7 4 4" xfId="5208"/>
    <cellStyle name="Milliers 3 2 7 5" xfId="877"/>
    <cellStyle name="Milliers 3 2 7 5 2" xfId="1788"/>
    <cellStyle name="Milliers 3 2 7 5 2 2" xfId="4076"/>
    <cellStyle name="Milliers 3 2 7 5 2 3" xfId="6296"/>
    <cellStyle name="Milliers 3 2 7 5 3" xfId="3173"/>
    <cellStyle name="Milliers 3 2 7 5 4" xfId="5393"/>
    <cellStyle name="Milliers 3 2 7 6" xfId="2053"/>
    <cellStyle name="Milliers 3 2 7 6 2" xfId="4338"/>
    <cellStyle name="Milliers 3 2 7 6 3" xfId="6558"/>
    <cellStyle name="Milliers 3 2 7 7" xfId="1116"/>
    <cellStyle name="Milliers 3 2 7 7 2" xfId="3407"/>
    <cellStyle name="Milliers 3 2 7 7 3" xfId="5627"/>
    <cellStyle name="Milliers 3 2 7 8" xfId="2504"/>
    <cellStyle name="Milliers 3 2 7 9" xfId="4723"/>
    <cellStyle name="Milliers 3 2 8" xfId="278"/>
    <cellStyle name="Milliers 3 2 8 2" xfId="1997"/>
    <cellStyle name="Milliers 3 2 8 2 2" xfId="4282"/>
    <cellStyle name="Milliers 3 2 8 2 3" xfId="6502"/>
    <cellStyle name="Milliers 3 2 8 3" xfId="1215"/>
    <cellStyle name="Milliers 3 2 8 3 2" xfId="3503"/>
    <cellStyle name="Milliers 3 2 8 3 3" xfId="5723"/>
    <cellStyle name="Milliers 3 2 8 4" xfId="2600"/>
    <cellStyle name="Milliers 3 2 8 5" xfId="4820"/>
    <cellStyle name="Milliers 3 2 9" xfId="489"/>
    <cellStyle name="Milliers 3 2 9 2" xfId="1402"/>
    <cellStyle name="Milliers 3 2 9 2 2" xfId="3690"/>
    <cellStyle name="Milliers 3 2 9 2 3" xfId="5910"/>
    <cellStyle name="Milliers 3 2 9 3" xfId="2787"/>
    <cellStyle name="Milliers 3 2 9 4" xfId="5007"/>
    <cellStyle name="Milliers 3 3" xfId="30"/>
    <cellStyle name="Milliers 3 3 10" xfId="2429"/>
    <cellStyle name="Milliers 3 3 11" xfId="4646"/>
    <cellStyle name="Milliers 3 3 12" xfId="6906"/>
    <cellStyle name="Milliers 3 3 13" xfId="7092"/>
    <cellStyle name="Milliers 3 3 2" xfId="116"/>
    <cellStyle name="Milliers 3 3 2 10" xfId="4727"/>
    <cellStyle name="Milliers 3 3 2 11" xfId="6907"/>
    <cellStyle name="Milliers 3 3 2 12" xfId="7093"/>
    <cellStyle name="Milliers 3 3 2 2" xfId="294"/>
    <cellStyle name="Milliers 3 3 2 2 10" xfId="7094"/>
    <cellStyle name="Milliers 3 3 2 2 2" xfId="505"/>
    <cellStyle name="Milliers 3 3 2 2 2 2" xfId="1418"/>
    <cellStyle name="Milliers 3 3 2 2 2 2 2" xfId="3706"/>
    <cellStyle name="Milliers 3 3 2 2 2 2 3" xfId="5926"/>
    <cellStyle name="Milliers 3 3 2 2 2 3" xfId="2803"/>
    <cellStyle name="Milliers 3 3 2 2 2 4" xfId="5023"/>
    <cellStyle name="Milliers 3 3 2 2 3" xfId="695"/>
    <cellStyle name="Milliers 3 3 2 2 3 2" xfId="1606"/>
    <cellStyle name="Milliers 3 3 2 2 3 2 2" xfId="3894"/>
    <cellStyle name="Milliers 3 3 2 2 3 2 3" xfId="6114"/>
    <cellStyle name="Milliers 3 3 2 2 3 3" xfId="2991"/>
    <cellStyle name="Milliers 3 3 2 2 3 4" xfId="5211"/>
    <cellStyle name="Milliers 3 3 2 2 4" xfId="880"/>
    <cellStyle name="Milliers 3 3 2 2 4 2" xfId="1791"/>
    <cellStyle name="Milliers 3 3 2 2 4 2 2" xfId="4079"/>
    <cellStyle name="Milliers 3 3 2 2 4 2 3" xfId="6299"/>
    <cellStyle name="Milliers 3 3 2 2 4 3" xfId="3176"/>
    <cellStyle name="Milliers 3 3 2 2 4 4" xfId="5396"/>
    <cellStyle name="Milliers 3 3 2 2 5" xfId="2056"/>
    <cellStyle name="Milliers 3 3 2 2 5 2" xfId="4341"/>
    <cellStyle name="Milliers 3 3 2 2 5 3" xfId="6561"/>
    <cellStyle name="Milliers 3 3 2 2 6" xfId="1231"/>
    <cellStyle name="Milliers 3 3 2 2 6 2" xfId="3519"/>
    <cellStyle name="Milliers 3 3 2 2 6 3" xfId="5739"/>
    <cellStyle name="Milliers 3 3 2 2 7" xfId="2616"/>
    <cellStyle name="Milliers 3 3 2 2 8" xfId="4836"/>
    <cellStyle name="Milliers 3 3 2 2 9" xfId="6908"/>
    <cellStyle name="Milliers 3 3 2 3" xfId="293"/>
    <cellStyle name="Milliers 3 3 2 3 2" xfId="1230"/>
    <cellStyle name="Milliers 3 3 2 3 2 2" xfId="3518"/>
    <cellStyle name="Milliers 3 3 2 3 2 3" xfId="5738"/>
    <cellStyle name="Milliers 3 3 2 3 3" xfId="2615"/>
    <cellStyle name="Milliers 3 3 2 3 4" xfId="4835"/>
    <cellStyle name="Milliers 3 3 2 4" xfId="504"/>
    <cellStyle name="Milliers 3 3 2 4 2" xfId="1417"/>
    <cellStyle name="Milliers 3 3 2 4 2 2" xfId="3705"/>
    <cellStyle name="Milliers 3 3 2 4 2 3" xfId="5925"/>
    <cellStyle name="Milliers 3 3 2 4 3" xfId="2802"/>
    <cellStyle name="Milliers 3 3 2 4 4" xfId="5022"/>
    <cellStyle name="Milliers 3 3 2 5" xfId="694"/>
    <cellStyle name="Milliers 3 3 2 5 2" xfId="1605"/>
    <cellStyle name="Milliers 3 3 2 5 2 2" xfId="3893"/>
    <cellStyle name="Milliers 3 3 2 5 2 3" xfId="6113"/>
    <cellStyle name="Milliers 3 3 2 5 3" xfId="2990"/>
    <cellStyle name="Milliers 3 3 2 5 4" xfId="5210"/>
    <cellStyle name="Milliers 3 3 2 6" xfId="879"/>
    <cellStyle name="Milliers 3 3 2 6 2" xfId="1790"/>
    <cellStyle name="Milliers 3 3 2 6 2 2" xfId="4078"/>
    <cellStyle name="Milliers 3 3 2 6 2 3" xfId="6298"/>
    <cellStyle name="Milliers 3 3 2 6 3" xfId="3175"/>
    <cellStyle name="Milliers 3 3 2 6 4" xfId="5395"/>
    <cellStyle name="Milliers 3 3 2 7" xfId="2055"/>
    <cellStyle name="Milliers 3 3 2 7 2" xfId="4340"/>
    <cellStyle name="Milliers 3 3 2 7 3" xfId="6560"/>
    <cellStyle name="Milliers 3 3 2 8" xfId="1120"/>
    <cellStyle name="Milliers 3 3 2 8 2" xfId="3411"/>
    <cellStyle name="Milliers 3 3 2 8 3" xfId="5631"/>
    <cellStyle name="Milliers 3 3 2 9" xfId="2508"/>
    <cellStyle name="Milliers 3 3 3" xfId="295"/>
    <cellStyle name="Milliers 3 3 3 10" xfId="7095"/>
    <cellStyle name="Milliers 3 3 3 2" xfId="506"/>
    <cellStyle name="Milliers 3 3 3 2 2" xfId="1419"/>
    <cellStyle name="Milliers 3 3 3 2 2 2" xfId="3707"/>
    <cellStyle name="Milliers 3 3 3 2 2 3" xfId="5927"/>
    <cellStyle name="Milliers 3 3 3 2 3" xfId="2804"/>
    <cellStyle name="Milliers 3 3 3 2 4" xfId="5024"/>
    <cellStyle name="Milliers 3 3 3 3" xfId="696"/>
    <cellStyle name="Milliers 3 3 3 3 2" xfId="1607"/>
    <cellStyle name="Milliers 3 3 3 3 2 2" xfId="3895"/>
    <cellStyle name="Milliers 3 3 3 3 2 3" xfId="6115"/>
    <cellStyle name="Milliers 3 3 3 3 3" xfId="2992"/>
    <cellStyle name="Milliers 3 3 3 3 4" xfId="5212"/>
    <cellStyle name="Milliers 3 3 3 4" xfId="881"/>
    <cellStyle name="Milliers 3 3 3 4 2" xfId="1792"/>
    <cellStyle name="Milliers 3 3 3 4 2 2" xfId="4080"/>
    <cellStyle name="Milliers 3 3 3 4 2 3" xfId="6300"/>
    <cellStyle name="Milliers 3 3 3 4 3" xfId="3177"/>
    <cellStyle name="Milliers 3 3 3 4 4" xfId="5397"/>
    <cellStyle name="Milliers 3 3 3 5" xfId="2057"/>
    <cellStyle name="Milliers 3 3 3 5 2" xfId="4342"/>
    <cellStyle name="Milliers 3 3 3 5 3" xfId="6562"/>
    <cellStyle name="Milliers 3 3 3 6" xfId="1232"/>
    <cellStyle name="Milliers 3 3 3 6 2" xfId="3520"/>
    <cellStyle name="Milliers 3 3 3 6 3" xfId="5740"/>
    <cellStyle name="Milliers 3 3 3 7" xfId="2617"/>
    <cellStyle name="Milliers 3 3 3 8" xfId="4837"/>
    <cellStyle name="Milliers 3 3 3 9" xfId="6909"/>
    <cellStyle name="Milliers 3 3 4" xfId="292"/>
    <cellStyle name="Milliers 3 3 4 2" xfId="1229"/>
    <cellStyle name="Milliers 3 3 4 2 2" xfId="3517"/>
    <cellStyle name="Milliers 3 3 4 2 3" xfId="5737"/>
    <cellStyle name="Milliers 3 3 4 3" xfId="2614"/>
    <cellStyle name="Milliers 3 3 4 4" xfId="4834"/>
    <cellStyle name="Milliers 3 3 5" xfId="503"/>
    <cellStyle name="Milliers 3 3 5 2" xfId="1416"/>
    <cellStyle name="Milliers 3 3 5 2 2" xfId="3704"/>
    <cellStyle name="Milliers 3 3 5 2 3" xfId="5924"/>
    <cellStyle name="Milliers 3 3 5 3" xfId="2801"/>
    <cellStyle name="Milliers 3 3 5 4" xfId="5021"/>
    <cellStyle name="Milliers 3 3 6" xfId="693"/>
    <cellStyle name="Milliers 3 3 6 2" xfId="1604"/>
    <cellStyle name="Milliers 3 3 6 2 2" xfId="3892"/>
    <cellStyle name="Milliers 3 3 6 2 3" xfId="6112"/>
    <cellStyle name="Milliers 3 3 6 3" xfId="2989"/>
    <cellStyle name="Milliers 3 3 6 4" xfId="5209"/>
    <cellStyle name="Milliers 3 3 7" xfId="878"/>
    <cellStyle name="Milliers 3 3 7 2" xfId="1789"/>
    <cellStyle name="Milliers 3 3 7 2 2" xfId="4077"/>
    <cellStyle name="Milliers 3 3 7 2 3" xfId="6297"/>
    <cellStyle name="Milliers 3 3 7 3" xfId="3174"/>
    <cellStyle name="Milliers 3 3 7 4" xfId="5394"/>
    <cellStyle name="Milliers 3 3 8" xfId="2054"/>
    <cellStyle name="Milliers 3 3 8 2" xfId="4339"/>
    <cellStyle name="Milliers 3 3 8 3" xfId="6559"/>
    <cellStyle name="Milliers 3 3 9" xfId="1039"/>
    <cellStyle name="Milliers 3 3 9 2" xfId="3332"/>
    <cellStyle name="Milliers 3 3 9 3" xfId="5552"/>
    <cellStyle name="Milliers 3 4" xfId="46"/>
    <cellStyle name="Milliers 3 4 10" xfId="4658"/>
    <cellStyle name="Milliers 3 4 11" xfId="6910"/>
    <cellStyle name="Milliers 3 4 12" xfId="7096"/>
    <cellStyle name="Milliers 3 4 2" xfId="128"/>
    <cellStyle name="Milliers 3 4 2 10" xfId="6911"/>
    <cellStyle name="Milliers 3 4 2 11" xfId="7097"/>
    <cellStyle name="Milliers 3 4 2 2" xfId="297"/>
    <cellStyle name="Milliers 3 4 2 2 2" xfId="2314"/>
    <cellStyle name="Milliers 3 4 2 2 2 2" xfId="4524"/>
    <cellStyle name="Milliers 3 4 2 2 2 3" xfId="6743"/>
    <cellStyle name="Milliers 3 4 2 2 3" xfId="1234"/>
    <cellStyle name="Milliers 3 4 2 2 3 2" xfId="3522"/>
    <cellStyle name="Milliers 3 4 2 2 3 3" xfId="5742"/>
    <cellStyle name="Milliers 3 4 2 2 4" xfId="2619"/>
    <cellStyle name="Milliers 3 4 2 2 5" xfId="4839"/>
    <cellStyle name="Milliers 3 4 2 3" xfId="508"/>
    <cellStyle name="Milliers 3 4 2 3 2" xfId="1421"/>
    <cellStyle name="Milliers 3 4 2 3 2 2" xfId="3709"/>
    <cellStyle name="Milliers 3 4 2 3 2 3" xfId="5929"/>
    <cellStyle name="Milliers 3 4 2 3 3" xfId="2806"/>
    <cellStyle name="Milliers 3 4 2 3 4" xfId="5026"/>
    <cellStyle name="Milliers 3 4 2 4" xfId="698"/>
    <cellStyle name="Milliers 3 4 2 4 2" xfId="1609"/>
    <cellStyle name="Milliers 3 4 2 4 2 2" xfId="3897"/>
    <cellStyle name="Milliers 3 4 2 4 2 3" xfId="6117"/>
    <cellStyle name="Milliers 3 4 2 4 3" xfId="2994"/>
    <cellStyle name="Milliers 3 4 2 4 4" xfId="5214"/>
    <cellStyle name="Milliers 3 4 2 5" xfId="883"/>
    <cellStyle name="Milliers 3 4 2 5 2" xfId="1794"/>
    <cellStyle name="Milliers 3 4 2 5 2 2" xfId="4082"/>
    <cellStyle name="Milliers 3 4 2 5 2 3" xfId="6302"/>
    <cellStyle name="Milliers 3 4 2 5 3" xfId="3179"/>
    <cellStyle name="Milliers 3 4 2 5 4" xfId="5399"/>
    <cellStyle name="Milliers 3 4 2 6" xfId="2059"/>
    <cellStyle name="Milliers 3 4 2 6 2" xfId="4344"/>
    <cellStyle name="Milliers 3 4 2 6 3" xfId="6564"/>
    <cellStyle name="Milliers 3 4 2 7" xfId="1132"/>
    <cellStyle name="Milliers 3 4 2 7 2" xfId="3423"/>
    <cellStyle name="Milliers 3 4 2 7 3" xfId="5643"/>
    <cellStyle name="Milliers 3 4 2 8" xfId="2520"/>
    <cellStyle name="Milliers 3 4 2 9" xfId="4739"/>
    <cellStyle name="Milliers 3 4 3" xfId="296"/>
    <cellStyle name="Milliers 3 4 3 2" xfId="1950"/>
    <cellStyle name="Milliers 3 4 3 2 2" xfId="4237"/>
    <cellStyle name="Milliers 3 4 3 2 3" xfId="6457"/>
    <cellStyle name="Milliers 3 4 3 3" xfId="1233"/>
    <cellStyle name="Milliers 3 4 3 3 2" xfId="3521"/>
    <cellStyle name="Milliers 3 4 3 3 3" xfId="5741"/>
    <cellStyle name="Milliers 3 4 3 4" xfId="2618"/>
    <cellStyle name="Milliers 3 4 3 5" xfId="4838"/>
    <cellStyle name="Milliers 3 4 4" xfId="507"/>
    <cellStyle name="Milliers 3 4 4 2" xfId="1420"/>
    <cellStyle name="Milliers 3 4 4 2 2" xfId="3708"/>
    <cellStyle name="Milliers 3 4 4 2 3" xfId="5928"/>
    <cellStyle name="Milliers 3 4 4 3" xfId="2805"/>
    <cellStyle name="Milliers 3 4 4 4" xfId="5025"/>
    <cellStyle name="Milliers 3 4 5" xfId="697"/>
    <cellStyle name="Milliers 3 4 5 2" xfId="1608"/>
    <cellStyle name="Milliers 3 4 5 2 2" xfId="3896"/>
    <cellStyle name="Milliers 3 4 5 2 3" xfId="6116"/>
    <cellStyle name="Milliers 3 4 5 3" xfId="2993"/>
    <cellStyle name="Milliers 3 4 5 4" xfId="5213"/>
    <cellStyle name="Milliers 3 4 6" xfId="882"/>
    <cellStyle name="Milliers 3 4 6 2" xfId="1793"/>
    <cellStyle name="Milliers 3 4 6 2 2" xfId="4081"/>
    <cellStyle name="Milliers 3 4 6 2 3" xfId="6301"/>
    <cellStyle name="Milliers 3 4 6 3" xfId="3178"/>
    <cellStyle name="Milliers 3 4 6 4" xfId="5398"/>
    <cellStyle name="Milliers 3 4 7" xfId="2058"/>
    <cellStyle name="Milliers 3 4 7 2" xfId="4343"/>
    <cellStyle name="Milliers 3 4 7 3" xfId="6563"/>
    <cellStyle name="Milliers 3 4 8" xfId="1052"/>
    <cellStyle name="Milliers 3 4 8 2" xfId="3344"/>
    <cellStyle name="Milliers 3 4 8 3" xfId="5564"/>
    <cellStyle name="Milliers 3 4 9" xfId="2441"/>
    <cellStyle name="Milliers 3 5" xfId="58"/>
    <cellStyle name="Milliers 3 5 10" xfId="4670"/>
    <cellStyle name="Milliers 3 5 11" xfId="6912"/>
    <cellStyle name="Milliers 3 5 12" xfId="7098"/>
    <cellStyle name="Milliers 3 5 2" xfId="140"/>
    <cellStyle name="Milliers 3 5 2 10" xfId="6913"/>
    <cellStyle name="Milliers 3 5 2 11" xfId="7099"/>
    <cellStyle name="Milliers 3 5 2 2" xfId="299"/>
    <cellStyle name="Milliers 3 5 2 2 2" xfId="2315"/>
    <cellStyle name="Milliers 3 5 2 2 2 2" xfId="4525"/>
    <cellStyle name="Milliers 3 5 2 2 2 3" xfId="6744"/>
    <cellStyle name="Milliers 3 5 2 2 3" xfId="1236"/>
    <cellStyle name="Milliers 3 5 2 2 3 2" xfId="3524"/>
    <cellStyle name="Milliers 3 5 2 2 3 3" xfId="5744"/>
    <cellStyle name="Milliers 3 5 2 2 4" xfId="2621"/>
    <cellStyle name="Milliers 3 5 2 2 5" xfId="4841"/>
    <cellStyle name="Milliers 3 5 2 3" xfId="510"/>
    <cellStyle name="Milliers 3 5 2 3 2" xfId="1423"/>
    <cellStyle name="Milliers 3 5 2 3 2 2" xfId="3711"/>
    <cellStyle name="Milliers 3 5 2 3 2 3" xfId="5931"/>
    <cellStyle name="Milliers 3 5 2 3 3" xfId="2808"/>
    <cellStyle name="Milliers 3 5 2 3 4" xfId="5028"/>
    <cellStyle name="Milliers 3 5 2 4" xfId="700"/>
    <cellStyle name="Milliers 3 5 2 4 2" xfId="1611"/>
    <cellStyle name="Milliers 3 5 2 4 2 2" xfId="3899"/>
    <cellStyle name="Milliers 3 5 2 4 2 3" xfId="6119"/>
    <cellStyle name="Milliers 3 5 2 4 3" xfId="2996"/>
    <cellStyle name="Milliers 3 5 2 4 4" xfId="5216"/>
    <cellStyle name="Milliers 3 5 2 5" xfId="885"/>
    <cellStyle name="Milliers 3 5 2 5 2" xfId="1796"/>
    <cellStyle name="Milliers 3 5 2 5 2 2" xfId="4084"/>
    <cellStyle name="Milliers 3 5 2 5 2 3" xfId="6304"/>
    <cellStyle name="Milliers 3 5 2 5 3" xfId="3181"/>
    <cellStyle name="Milliers 3 5 2 5 4" xfId="5401"/>
    <cellStyle name="Milliers 3 5 2 6" xfId="2061"/>
    <cellStyle name="Milliers 3 5 2 6 2" xfId="4346"/>
    <cellStyle name="Milliers 3 5 2 6 3" xfId="6566"/>
    <cellStyle name="Milliers 3 5 2 7" xfId="1144"/>
    <cellStyle name="Milliers 3 5 2 7 2" xfId="3435"/>
    <cellStyle name="Milliers 3 5 2 7 3" xfId="5655"/>
    <cellStyle name="Milliers 3 5 2 8" xfId="2532"/>
    <cellStyle name="Milliers 3 5 2 9" xfId="4751"/>
    <cellStyle name="Milliers 3 5 3" xfId="298"/>
    <cellStyle name="Milliers 3 5 3 2" xfId="1966"/>
    <cellStyle name="Milliers 3 5 3 2 2" xfId="4252"/>
    <cellStyle name="Milliers 3 5 3 2 3" xfId="6472"/>
    <cellStyle name="Milliers 3 5 3 3" xfId="1235"/>
    <cellStyle name="Milliers 3 5 3 3 2" xfId="3523"/>
    <cellStyle name="Milliers 3 5 3 3 3" xfId="5743"/>
    <cellStyle name="Milliers 3 5 3 4" xfId="2620"/>
    <cellStyle name="Milliers 3 5 3 5" xfId="4840"/>
    <cellStyle name="Milliers 3 5 4" xfId="509"/>
    <cellStyle name="Milliers 3 5 4 2" xfId="1422"/>
    <cellStyle name="Milliers 3 5 4 2 2" xfId="3710"/>
    <cellStyle name="Milliers 3 5 4 2 3" xfId="5930"/>
    <cellStyle name="Milliers 3 5 4 3" xfId="2807"/>
    <cellStyle name="Milliers 3 5 4 4" xfId="5027"/>
    <cellStyle name="Milliers 3 5 5" xfId="699"/>
    <cellStyle name="Milliers 3 5 5 2" xfId="1610"/>
    <cellStyle name="Milliers 3 5 5 2 2" xfId="3898"/>
    <cellStyle name="Milliers 3 5 5 2 3" xfId="6118"/>
    <cellStyle name="Milliers 3 5 5 3" xfId="2995"/>
    <cellStyle name="Milliers 3 5 5 4" xfId="5215"/>
    <cellStyle name="Milliers 3 5 6" xfId="884"/>
    <cellStyle name="Milliers 3 5 6 2" xfId="1795"/>
    <cellStyle name="Milliers 3 5 6 2 2" xfId="4083"/>
    <cellStyle name="Milliers 3 5 6 2 3" xfId="6303"/>
    <cellStyle name="Milliers 3 5 6 3" xfId="3180"/>
    <cellStyle name="Milliers 3 5 6 4" xfId="5400"/>
    <cellStyle name="Milliers 3 5 7" xfId="2060"/>
    <cellStyle name="Milliers 3 5 7 2" xfId="4345"/>
    <cellStyle name="Milliers 3 5 7 3" xfId="6565"/>
    <cellStyle name="Milliers 3 5 8" xfId="1064"/>
    <cellStyle name="Milliers 3 5 8 2" xfId="3356"/>
    <cellStyle name="Milliers 3 5 8 3" xfId="5576"/>
    <cellStyle name="Milliers 3 5 9" xfId="2453"/>
    <cellStyle name="Milliers 3 6" xfId="70"/>
    <cellStyle name="Milliers 3 6 10" xfId="4682"/>
    <cellStyle name="Milliers 3 6 11" xfId="6914"/>
    <cellStyle name="Milliers 3 6 12" xfId="7100"/>
    <cellStyle name="Milliers 3 6 2" xfId="152"/>
    <cellStyle name="Milliers 3 6 2 10" xfId="6915"/>
    <cellStyle name="Milliers 3 6 2 11" xfId="7101"/>
    <cellStyle name="Milliers 3 6 2 2" xfId="301"/>
    <cellStyle name="Milliers 3 6 2 2 2" xfId="2316"/>
    <cellStyle name="Milliers 3 6 2 2 2 2" xfId="4526"/>
    <cellStyle name="Milliers 3 6 2 2 2 3" xfId="6745"/>
    <cellStyle name="Milliers 3 6 2 2 3" xfId="1238"/>
    <cellStyle name="Milliers 3 6 2 2 3 2" xfId="3526"/>
    <cellStyle name="Milliers 3 6 2 2 3 3" xfId="5746"/>
    <cellStyle name="Milliers 3 6 2 2 4" xfId="2623"/>
    <cellStyle name="Milliers 3 6 2 2 5" xfId="4843"/>
    <cellStyle name="Milliers 3 6 2 3" xfId="512"/>
    <cellStyle name="Milliers 3 6 2 3 2" xfId="1425"/>
    <cellStyle name="Milliers 3 6 2 3 2 2" xfId="3713"/>
    <cellStyle name="Milliers 3 6 2 3 2 3" xfId="5933"/>
    <cellStyle name="Milliers 3 6 2 3 3" xfId="2810"/>
    <cellStyle name="Milliers 3 6 2 3 4" xfId="5030"/>
    <cellStyle name="Milliers 3 6 2 4" xfId="702"/>
    <cellStyle name="Milliers 3 6 2 4 2" xfId="1613"/>
    <cellStyle name="Milliers 3 6 2 4 2 2" xfId="3901"/>
    <cellStyle name="Milliers 3 6 2 4 2 3" xfId="6121"/>
    <cellStyle name="Milliers 3 6 2 4 3" xfId="2998"/>
    <cellStyle name="Milliers 3 6 2 4 4" xfId="5218"/>
    <cellStyle name="Milliers 3 6 2 5" xfId="887"/>
    <cellStyle name="Milliers 3 6 2 5 2" xfId="1798"/>
    <cellStyle name="Milliers 3 6 2 5 2 2" xfId="4086"/>
    <cellStyle name="Milliers 3 6 2 5 2 3" xfId="6306"/>
    <cellStyle name="Milliers 3 6 2 5 3" xfId="3183"/>
    <cellStyle name="Milliers 3 6 2 5 4" xfId="5403"/>
    <cellStyle name="Milliers 3 6 2 6" xfId="2063"/>
    <cellStyle name="Milliers 3 6 2 6 2" xfId="4348"/>
    <cellStyle name="Milliers 3 6 2 6 3" xfId="6568"/>
    <cellStyle name="Milliers 3 6 2 7" xfId="1156"/>
    <cellStyle name="Milliers 3 6 2 7 2" xfId="3447"/>
    <cellStyle name="Milliers 3 6 2 7 3" xfId="5667"/>
    <cellStyle name="Milliers 3 6 2 8" xfId="2544"/>
    <cellStyle name="Milliers 3 6 2 9" xfId="4763"/>
    <cellStyle name="Milliers 3 6 3" xfId="300"/>
    <cellStyle name="Milliers 3 6 3 2" xfId="1989"/>
    <cellStyle name="Milliers 3 6 3 2 2" xfId="4275"/>
    <cellStyle name="Milliers 3 6 3 2 3" xfId="6495"/>
    <cellStyle name="Milliers 3 6 3 3" xfId="1237"/>
    <cellStyle name="Milliers 3 6 3 3 2" xfId="3525"/>
    <cellStyle name="Milliers 3 6 3 3 3" xfId="5745"/>
    <cellStyle name="Milliers 3 6 3 4" xfId="2622"/>
    <cellStyle name="Milliers 3 6 3 5" xfId="4842"/>
    <cellStyle name="Milliers 3 6 4" xfId="511"/>
    <cellStyle name="Milliers 3 6 4 2" xfId="1424"/>
    <cellStyle name="Milliers 3 6 4 2 2" xfId="3712"/>
    <cellStyle name="Milliers 3 6 4 2 3" xfId="5932"/>
    <cellStyle name="Milliers 3 6 4 3" xfId="2809"/>
    <cellStyle name="Milliers 3 6 4 4" xfId="5029"/>
    <cellStyle name="Milliers 3 6 5" xfId="701"/>
    <cellStyle name="Milliers 3 6 5 2" xfId="1612"/>
    <cellStyle name="Milliers 3 6 5 2 2" xfId="3900"/>
    <cellStyle name="Milliers 3 6 5 2 3" xfId="6120"/>
    <cellStyle name="Milliers 3 6 5 3" xfId="2997"/>
    <cellStyle name="Milliers 3 6 5 4" xfId="5217"/>
    <cellStyle name="Milliers 3 6 6" xfId="886"/>
    <cellStyle name="Milliers 3 6 6 2" xfId="1797"/>
    <cellStyle name="Milliers 3 6 6 2 2" xfId="4085"/>
    <cellStyle name="Milliers 3 6 6 2 3" xfId="6305"/>
    <cellStyle name="Milliers 3 6 6 3" xfId="3182"/>
    <cellStyle name="Milliers 3 6 6 4" xfId="5402"/>
    <cellStyle name="Milliers 3 6 7" xfId="2062"/>
    <cellStyle name="Milliers 3 6 7 2" xfId="4347"/>
    <cellStyle name="Milliers 3 6 7 3" xfId="6567"/>
    <cellStyle name="Milliers 3 6 8" xfId="1076"/>
    <cellStyle name="Milliers 3 6 8 2" xfId="3368"/>
    <cellStyle name="Milliers 3 6 8 3" xfId="5588"/>
    <cellStyle name="Milliers 3 6 9" xfId="2465"/>
    <cellStyle name="Milliers 3 7" xfId="82"/>
    <cellStyle name="Milliers 3 7 10" xfId="4694"/>
    <cellStyle name="Milliers 3 7 11" xfId="6916"/>
    <cellStyle name="Milliers 3 7 12" xfId="7102"/>
    <cellStyle name="Milliers 3 7 2" xfId="164"/>
    <cellStyle name="Milliers 3 7 2 10" xfId="6917"/>
    <cellStyle name="Milliers 3 7 2 11" xfId="7103"/>
    <cellStyle name="Milliers 3 7 2 2" xfId="303"/>
    <cellStyle name="Milliers 3 7 2 2 2" xfId="2317"/>
    <cellStyle name="Milliers 3 7 2 2 2 2" xfId="4527"/>
    <cellStyle name="Milliers 3 7 2 2 2 3" xfId="6746"/>
    <cellStyle name="Milliers 3 7 2 2 3" xfId="1240"/>
    <cellStyle name="Milliers 3 7 2 2 3 2" xfId="3528"/>
    <cellStyle name="Milliers 3 7 2 2 3 3" xfId="5748"/>
    <cellStyle name="Milliers 3 7 2 2 4" xfId="2625"/>
    <cellStyle name="Milliers 3 7 2 2 5" xfId="4845"/>
    <cellStyle name="Milliers 3 7 2 3" xfId="514"/>
    <cellStyle name="Milliers 3 7 2 3 2" xfId="1427"/>
    <cellStyle name="Milliers 3 7 2 3 2 2" xfId="3715"/>
    <cellStyle name="Milliers 3 7 2 3 2 3" xfId="5935"/>
    <cellStyle name="Milliers 3 7 2 3 3" xfId="2812"/>
    <cellStyle name="Milliers 3 7 2 3 4" xfId="5032"/>
    <cellStyle name="Milliers 3 7 2 4" xfId="704"/>
    <cellStyle name="Milliers 3 7 2 4 2" xfId="1615"/>
    <cellStyle name="Milliers 3 7 2 4 2 2" xfId="3903"/>
    <cellStyle name="Milliers 3 7 2 4 2 3" xfId="6123"/>
    <cellStyle name="Milliers 3 7 2 4 3" xfId="3000"/>
    <cellStyle name="Milliers 3 7 2 4 4" xfId="5220"/>
    <cellStyle name="Milliers 3 7 2 5" xfId="889"/>
    <cellStyle name="Milliers 3 7 2 5 2" xfId="1800"/>
    <cellStyle name="Milliers 3 7 2 5 2 2" xfId="4088"/>
    <cellStyle name="Milliers 3 7 2 5 2 3" xfId="6308"/>
    <cellStyle name="Milliers 3 7 2 5 3" xfId="3185"/>
    <cellStyle name="Milliers 3 7 2 5 4" xfId="5405"/>
    <cellStyle name="Milliers 3 7 2 6" xfId="2065"/>
    <cellStyle name="Milliers 3 7 2 6 2" xfId="4350"/>
    <cellStyle name="Milliers 3 7 2 6 3" xfId="6570"/>
    <cellStyle name="Milliers 3 7 2 7" xfId="1168"/>
    <cellStyle name="Milliers 3 7 2 7 2" xfId="3459"/>
    <cellStyle name="Milliers 3 7 2 7 3" xfId="5679"/>
    <cellStyle name="Milliers 3 7 2 8" xfId="2556"/>
    <cellStyle name="Milliers 3 7 2 9" xfId="4775"/>
    <cellStyle name="Milliers 3 7 3" xfId="302"/>
    <cellStyle name="Milliers 3 7 3 2" xfId="1991"/>
    <cellStyle name="Milliers 3 7 3 2 2" xfId="4277"/>
    <cellStyle name="Milliers 3 7 3 2 3" xfId="6497"/>
    <cellStyle name="Milliers 3 7 3 3" xfId="1239"/>
    <cellStyle name="Milliers 3 7 3 3 2" xfId="3527"/>
    <cellStyle name="Milliers 3 7 3 3 3" xfId="5747"/>
    <cellStyle name="Milliers 3 7 3 4" xfId="2624"/>
    <cellStyle name="Milliers 3 7 3 5" xfId="4844"/>
    <cellStyle name="Milliers 3 7 4" xfId="513"/>
    <cellStyle name="Milliers 3 7 4 2" xfId="1426"/>
    <cellStyle name="Milliers 3 7 4 2 2" xfId="3714"/>
    <cellStyle name="Milliers 3 7 4 2 3" xfId="5934"/>
    <cellStyle name="Milliers 3 7 4 3" xfId="2811"/>
    <cellStyle name="Milliers 3 7 4 4" xfId="5031"/>
    <cellStyle name="Milliers 3 7 5" xfId="703"/>
    <cellStyle name="Milliers 3 7 5 2" xfId="1614"/>
    <cellStyle name="Milliers 3 7 5 2 2" xfId="3902"/>
    <cellStyle name="Milliers 3 7 5 2 3" xfId="6122"/>
    <cellStyle name="Milliers 3 7 5 3" xfId="2999"/>
    <cellStyle name="Milliers 3 7 5 4" xfId="5219"/>
    <cellStyle name="Milliers 3 7 6" xfId="888"/>
    <cellStyle name="Milliers 3 7 6 2" xfId="1799"/>
    <cellStyle name="Milliers 3 7 6 2 2" xfId="4087"/>
    <cellStyle name="Milliers 3 7 6 2 3" xfId="6307"/>
    <cellStyle name="Milliers 3 7 6 3" xfId="3184"/>
    <cellStyle name="Milliers 3 7 6 4" xfId="5404"/>
    <cellStyle name="Milliers 3 7 7" xfId="2064"/>
    <cellStyle name="Milliers 3 7 7 2" xfId="4349"/>
    <cellStyle name="Milliers 3 7 7 3" xfId="6569"/>
    <cellStyle name="Milliers 3 7 8" xfId="1088"/>
    <cellStyle name="Milliers 3 7 8 2" xfId="3380"/>
    <cellStyle name="Milliers 3 7 8 3" xfId="5600"/>
    <cellStyle name="Milliers 3 7 9" xfId="2477"/>
    <cellStyle name="Milliers 3 8" xfId="103"/>
    <cellStyle name="Milliers 3 8 10" xfId="6918"/>
    <cellStyle name="Milliers 3 8 11" xfId="7104"/>
    <cellStyle name="Milliers 3 8 2" xfId="304"/>
    <cellStyle name="Milliers 3 8 2 2" xfId="1998"/>
    <cellStyle name="Milliers 3 8 2 2 2" xfId="4283"/>
    <cellStyle name="Milliers 3 8 2 2 3" xfId="6503"/>
    <cellStyle name="Milliers 3 8 2 3" xfId="1241"/>
    <cellStyle name="Milliers 3 8 2 3 2" xfId="3529"/>
    <cellStyle name="Milliers 3 8 2 3 3" xfId="5749"/>
    <cellStyle name="Milliers 3 8 2 4" xfId="2626"/>
    <cellStyle name="Milliers 3 8 2 5" xfId="4846"/>
    <cellStyle name="Milliers 3 8 3" xfId="515"/>
    <cellStyle name="Milliers 3 8 3 2" xfId="1428"/>
    <cellStyle name="Milliers 3 8 3 2 2" xfId="3716"/>
    <cellStyle name="Milliers 3 8 3 2 3" xfId="5936"/>
    <cellStyle name="Milliers 3 8 3 3" xfId="2813"/>
    <cellStyle name="Milliers 3 8 3 4" xfId="5033"/>
    <cellStyle name="Milliers 3 8 4" xfId="705"/>
    <cellStyle name="Milliers 3 8 4 2" xfId="1616"/>
    <cellStyle name="Milliers 3 8 4 2 2" xfId="3904"/>
    <cellStyle name="Milliers 3 8 4 2 3" xfId="6124"/>
    <cellStyle name="Milliers 3 8 4 3" xfId="3001"/>
    <cellStyle name="Milliers 3 8 4 4" xfId="5221"/>
    <cellStyle name="Milliers 3 8 5" xfId="890"/>
    <cellStyle name="Milliers 3 8 5 2" xfId="1801"/>
    <cellStyle name="Milliers 3 8 5 2 2" xfId="4089"/>
    <cellStyle name="Milliers 3 8 5 2 3" xfId="6309"/>
    <cellStyle name="Milliers 3 8 5 3" xfId="3186"/>
    <cellStyle name="Milliers 3 8 5 4" xfId="5406"/>
    <cellStyle name="Milliers 3 8 6" xfId="2066"/>
    <cellStyle name="Milliers 3 8 6 2" xfId="4351"/>
    <cellStyle name="Milliers 3 8 6 3" xfId="6571"/>
    <cellStyle name="Milliers 3 8 7" xfId="1107"/>
    <cellStyle name="Milliers 3 8 7 2" xfId="3398"/>
    <cellStyle name="Milliers 3 8 7 3" xfId="5618"/>
    <cellStyle name="Milliers 3 8 8" xfId="2495"/>
    <cellStyle name="Milliers 3 8 9" xfId="4714"/>
    <cellStyle name="Milliers 3 9" xfId="277"/>
    <cellStyle name="Milliers 3 9 2" xfId="1938"/>
    <cellStyle name="Milliers 3 9 2 2" xfId="4226"/>
    <cellStyle name="Milliers 3 9 2 3" xfId="6446"/>
    <cellStyle name="Milliers 3 9 3" xfId="2309"/>
    <cellStyle name="Milliers 3 9 3 2" xfId="4519"/>
    <cellStyle name="Milliers 3 9 3 3" xfId="6738"/>
    <cellStyle name="Milliers 3 9 4" xfId="1214"/>
    <cellStyle name="Milliers 3 9 4 2" xfId="3502"/>
    <cellStyle name="Milliers 3 9 4 3" xfId="5722"/>
    <cellStyle name="Milliers 3 9 5" xfId="2599"/>
    <cellStyle name="Milliers 3 9 6" xfId="4819"/>
    <cellStyle name="Milliers 4" xfId="21"/>
    <cellStyle name="Milliers 4 2" xfId="2225"/>
    <cellStyle name="Milliers 4 2 2" xfId="2278"/>
    <cellStyle name="Milliers 4 2 2 2" xfId="4499"/>
    <cellStyle name="Milliers 4 2 2 3" xfId="6718"/>
    <cellStyle name="Milliers 4 2 3" xfId="4483"/>
    <cellStyle name="Milliers 4 2 4" xfId="6703"/>
    <cellStyle name="Milliers 5" xfId="18"/>
    <cellStyle name="Milliers 5 10" xfId="706"/>
    <cellStyle name="Milliers 5 10 2" xfId="1617"/>
    <cellStyle name="Milliers 5 10 2 2" xfId="3905"/>
    <cellStyle name="Milliers 5 10 2 3" xfId="6125"/>
    <cellStyle name="Milliers 5 10 3" xfId="3002"/>
    <cellStyle name="Milliers 5 10 4" xfId="5222"/>
    <cellStyle name="Milliers 5 11" xfId="891"/>
    <cellStyle name="Milliers 5 11 2" xfId="1802"/>
    <cellStyle name="Milliers 5 11 2 2" xfId="4090"/>
    <cellStyle name="Milliers 5 11 2 3" xfId="6310"/>
    <cellStyle name="Milliers 5 11 3" xfId="3187"/>
    <cellStyle name="Milliers 5 11 4" xfId="5407"/>
    <cellStyle name="Milliers 5 12" xfId="2067"/>
    <cellStyle name="Milliers 5 12 2" xfId="4352"/>
    <cellStyle name="Milliers 5 12 3" xfId="6572"/>
    <cellStyle name="Milliers 5 13" xfId="1031"/>
    <cellStyle name="Milliers 5 13 2" xfId="3324"/>
    <cellStyle name="Milliers 5 13 3" xfId="5544"/>
    <cellStyle name="Milliers 5 14" xfId="2421"/>
    <cellStyle name="Milliers 5 15" xfId="4637"/>
    <cellStyle name="Milliers 5 16" xfId="6919"/>
    <cellStyle name="Milliers 5 17" xfId="7105"/>
    <cellStyle name="Milliers 5 2" xfId="33"/>
    <cellStyle name="Milliers 5 2 10" xfId="2432"/>
    <cellStyle name="Milliers 5 2 11" xfId="4649"/>
    <cellStyle name="Milliers 5 2 12" xfId="6920"/>
    <cellStyle name="Milliers 5 2 13" xfId="7106"/>
    <cellStyle name="Milliers 5 2 2" xfId="119"/>
    <cellStyle name="Milliers 5 2 2 10" xfId="4730"/>
    <cellStyle name="Milliers 5 2 2 11" xfId="6921"/>
    <cellStyle name="Milliers 5 2 2 12" xfId="7107"/>
    <cellStyle name="Milliers 5 2 2 2" xfId="308"/>
    <cellStyle name="Milliers 5 2 2 2 10" xfId="7108"/>
    <cellStyle name="Milliers 5 2 2 2 2" xfId="519"/>
    <cellStyle name="Milliers 5 2 2 2 2 2" xfId="1432"/>
    <cellStyle name="Milliers 5 2 2 2 2 2 2" xfId="3720"/>
    <cellStyle name="Milliers 5 2 2 2 2 2 3" xfId="5940"/>
    <cellStyle name="Milliers 5 2 2 2 2 3" xfId="2817"/>
    <cellStyle name="Milliers 5 2 2 2 2 4" xfId="5037"/>
    <cellStyle name="Milliers 5 2 2 2 3" xfId="709"/>
    <cellStyle name="Milliers 5 2 2 2 3 2" xfId="1620"/>
    <cellStyle name="Milliers 5 2 2 2 3 2 2" xfId="3908"/>
    <cellStyle name="Milliers 5 2 2 2 3 2 3" xfId="6128"/>
    <cellStyle name="Milliers 5 2 2 2 3 3" xfId="3005"/>
    <cellStyle name="Milliers 5 2 2 2 3 4" xfId="5225"/>
    <cellStyle name="Milliers 5 2 2 2 4" xfId="894"/>
    <cellStyle name="Milliers 5 2 2 2 4 2" xfId="1805"/>
    <cellStyle name="Milliers 5 2 2 2 4 2 2" xfId="4093"/>
    <cellStyle name="Milliers 5 2 2 2 4 2 3" xfId="6313"/>
    <cellStyle name="Milliers 5 2 2 2 4 3" xfId="3190"/>
    <cellStyle name="Milliers 5 2 2 2 4 4" xfId="5410"/>
    <cellStyle name="Milliers 5 2 2 2 5" xfId="2070"/>
    <cellStyle name="Milliers 5 2 2 2 5 2" xfId="4355"/>
    <cellStyle name="Milliers 5 2 2 2 5 3" xfId="6575"/>
    <cellStyle name="Milliers 5 2 2 2 6" xfId="1245"/>
    <cellStyle name="Milliers 5 2 2 2 6 2" xfId="3533"/>
    <cellStyle name="Milliers 5 2 2 2 6 3" xfId="5753"/>
    <cellStyle name="Milliers 5 2 2 2 7" xfId="2630"/>
    <cellStyle name="Milliers 5 2 2 2 8" xfId="4850"/>
    <cellStyle name="Milliers 5 2 2 2 9" xfId="6922"/>
    <cellStyle name="Milliers 5 2 2 3" xfId="307"/>
    <cellStyle name="Milliers 5 2 2 3 2" xfId="1244"/>
    <cellStyle name="Milliers 5 2 2 3 2 2" xfId="3532"/>
    <cellStyle name="Milliers 5 2 2 3 2 3" xfId="5752"/>
    <cellStyle name="Milliers 5 2 2 3 3" xfId="2629"/>
    <cellStyle name="Milliers 5 2 2 3 4" xfId="4849"/>
    <cellStyle name="Milliers 5 2 2 4" xfId="518"/>
    <cellStyle name="Milliers 5 2 2 4 2" xfId="1431"/>
    <cellStyle name="Milliers 5 2 2 4 2 2" xfId="3719"/>
    <cellStyle name="Milliers 5 2 2 4 2 3" xfId="5939"/>
    <cellStyle name="Milliers 5 2 2 4 3" xfId="2816"/>
    <cellStyle name="Milliers 5 2 2 4 4" xfId="5036"/>
    <cellStyle name="Milliers 5 2 2 5" xfId="708"/>
    <cellStyle name="Milliers 5 2 2 5 2" xfId="1619"/>
    <cellStyle name="Milliers 5 2 2 5 2 2" xfId="3907"/>
    <cellStyle name="Milliers 5 2 2 5 2 3" xfId="6127"/>
    <cellStyle name="Milliers 5 2 2 5 3" xfId="3004"/>
    <cellStyle name="Milliers 5 2 2 5 4" xfId="5224"/>
    <cellStyle name="Milliers 5 2 2 6" xfId="893"/>
    <cellStyle name="Milliers 5 2 2 6 2" xfId="1804"/>
    <cellStyle name="Milliers 5 2 2 6 2 2" xfId="4092"/>
    <cellStyle name="Milliers 5 2 2 6 2 3" xfId="6312"/>
    <cellStyle name="Milliers 5 2 2 6 3" xfId="3189"/>
    <cellStyle name="Milliers 5 2 2 6 4" xfId="5409"/>
    <cellStyle name="Milliers 5 2 2 7" xfId="2069"/>
    <cellStyle name="Milliers 5 2 2 7 2" xfId="4354"/>
    <cellStyle name="Milliers 5 2 2 7 3" xfId="6574"/>
    <cellStyle name="Milliers 5 2 2 8" xfId="1123"/>
    <cellStyle name="Milliers 5 2 2 8 2" xfId="3414"/>
    <cellStyle name="Milliers 5 2 2 8 3" xfId="5634"/>
    <cellStyle name="Milliers 5 2 2 9" xfId="2511"/>
    <cellStyle name="Milliers 5 2 3" xfId="309"/>
    <cellStyle name="Milliers 5 2 3 10" xfId="7109"/>
    <cellStyle name="Milliers 5 2 3 2" xfId="520"/>
    <cellStyle name="Milliers 5 2 3 2 2" xfId="1433"/>
    <cellStyle name="Milliers 5 2 3 2 2 2" xfId="3721"/>
    <cellStyle name="Milliers 5 2 3 2 2 3" xfId="5941"/>
    <cellStyle name="Milliers 5 2 3 2 3" xfId="2818"/>
    <cellStyle name="Milliers 5 2 3 2 4" xfId="5038"/>
    <cellStyle name="Milliers 5 2 3 3" xfId="710"/>
    <cellStyle name="Milliers 5 2 3 3 2" xfId="1621"/>
    <cellStyle name="Milliers 5 2 3 3 2 2" xfId="3909"/>
    <cellStyle name="Milliers 5 2 3 3 2 3" xfId="6129"/>
    <cellStyle name="Milliers 5 2 3 3 3" xfId="3006"/>
    <cellStyle name="Milliers 5 2 3 3 4" xfId="5226"/>
    <cellStyle name="Milliers 5 2 3 4" xfId="895"/>
    <cellStyle name="Milliers 5 2 3 4 2" xfId="1806"/>
    <cellStyle name="Milliers 5 2 3 4 2 2" xfId="4094"/>
    <cellStyle name="Milliers 5 2 3 4 2 3" xfId="6314"/>
    <cellStyle name="Milliers 5 2 3 4 3" xfId="3191"/>
    <cellStyle name="Milliers 5 2 3 4 4" xfId="5411"/>
    <cellStyle name="Milliers 5 2 3 5" xfId="2071"/>
    <cellStyle name="Milliers 5 2 3 5 2" xfId="4356"/>
    <cellStyle name="Milliers 5 2 3 5 3" xfId="6576"/>
    <cellStyle name="Milliers 5 2 3 6" xfId="1246"/>
    <cellStyle name="Milliers 5 2 3 6 2" xfId="3534"/>
    <cellStyle name="Milliers 5 2 3 6 3" xfId="5754"/>
    <cellStyle name="Milliers 5 2 3 7" xfId="2631"/>
    <cellStyle name="Milliers 5 2 3 8" xfId="4851"/>
    <cellStyle name="Milliers 5 2 3 9" xfId="6923"/>
    <cellStyle name="Milliers 5 2 4" xfId="306"/>
    <cellStyle name="Milliers 5 2 4 2" xfId="1243"/>
    <cellStyle name="Milliers 5 2 4 2 2" xfId="3531"/>
    <cellStyle name="Milliers 5 2 4 2 3" xfId="5751"/>
    <cellStyle name="Milliers 5 2 4 3" xfId="2628"/>
    <cellStyle name="Milliers 5 2 4 4" xfId="4848"/>
    <cellStyle name="Milliers 5 2 5" xfId="517"/>
    <cellStyle name="Milliers 5 2 5 2" xfId="1430"/>
    <cellStyle name="Milliers 5 2 5 2 2" xfId="3718"/>
    <cellStyle name="Milliers 5 2 5 2 3" xfId="5938"/>
    <cellStyle name="Milliers 5 2 5 3" xfId="2815"/>
    <cellStyle name="Milliers 5 2 5 4" xfId="5035"/>
    <cellStyle name="Milliers 5 2 6" xfId="707"/>
    <cellStyle name="Milliers 5 2 6 2" xfId="1618"/>
    <cellStyle name="Milliers 5 2 6 2 2" xfId="3906"/>
    <cellStyle name="Milliers 5 2 6 2 3" xfId="6126"/>
    <cellStyle name="Milliers 5 2 6 3" xfId="3003"/>
    <cellStyle name="Milliers 5 2 6 4" xfId="5223"/>
    <cellStyle name="Milliers 5 2 7" xfId="892"/>
    <cellStyle name="Milliers 5 2 7 2" xfId="1803"/>
    <cellStyle name="Milliers 5 2 7 2 2" xfId="4091"/>
    <cellStyle name="Milliers 5 2 7 2 3" xfId="6311"/>
    <cellStyle name="Milliers 5 2 7 3" xfId="3188"/>
    <cellStyle name="Milliers 5 2 7 4" xfId="5408"/>
    <cellStyle name="Milliers 5 2 8" xfId="2068"/>
    <cellStyle name="Milliers 5 2 8 2" xfId="4353"/>
    <cellStyle name="Milliers 5 2 8 3" xfId="6573"/>
    <cellStyle name="Milliers 5 2 9" xfId="1042"/>
    <cellStyle name="Milliers 5 2 9 2" xfId="3335"/>
    <cellStyle name="Milliers 5 2 9 3" xfId="5555"/>
    <cellStyle name="Milliers 5 3" xfId="49"/>
    <cellStyle name="Milliers 5 3 10" xfId="4661"/>
    <cellStyle name="Milliers 5 3 11" xfId="6924"/>
    <cellStyle name="Milliers 5 3 12" xfId="7110"/>
    <cellStyle name="Milliers 5 3 2" xfId="131"/>
    <cellStyle name="Milliers 5 3 2 10" xfId="6925"/>
    <cellStyle name="Milliers 5 3 2 11" xfId="7111"/>
    <cellStyle name="Milliers 5 3 2 2" xfId="311"/>
    <cellStyle name="Milliers 5 3 2 2 2" xfId="2318"/>
    <cellStyle name="Milliers 5 3 2 2 2 2" xfId="4528"/>
    <cellStyle name="Milliers 5 3 2 2 2 3" xfId="6747"/>
    <cellStyle name="Milliers 5 3 2 2 3" xfId="1248"/>
    <cellStyle name="Milliers 5 3 2 2 3 2" xfId="3536"/>
    <cellStyle name="Milliers 5 3 2 2 3 3" xfId="5756"/>
    <cellStyle name="Milliers 5 3 2 2 4" xfId="2633"/>
    <cellStyle name="Milliers 5 3 2 2 5" xfId="4853"/>
    <cellStyle name="Milliers 5 3 2 3" xfId="522"/>
    <cellStyle name="Milliers 5 3 2 3 2" xfId="1435"/>
    <cellStyle name="Milliers 5 3 2 3 2 2" xfId="3723"/>
    <cellStyle name="Milliers 5 3 2 3 2 3" xfId="5943"/>
    <cellStyle name="Milliers 5 3 2 3 3" xfId="2820"/>
    <cellStyle name="Milliers 5 3 2 3 4" xfId="5040"/>
    <cellStyle name="Milliers 5 3 2 4" xfId="712"/>
    <cellStyle name="Milliers 5 3 2 4 2" xfId="1623"/>
    <cellStyle name="Milliers 5 3 2 4 2 2" xfId="3911"/>
    <cellStyle name="Milliers 5 3 2 4 2 3" xfId="6131"/>
    <cellStyle name="Milliers 5 3 2 4 3" xfId="3008"/>
    <cellStyle name="Milliers 5 3 2 4 4" xfId="5228"/>
    <cellStyle name="Milliers 5 3 2 5" xfId="897"/>
    <cellStyle name="Milliers 5 3 2 5 2" xfId="1808"/>
    <cellStyle name="Milliers 5 3 2 5 2 2" xfId="4096"/>
    <cellStyle name="Milliers 5 3 2 5 2 3" xfId="6316"/>
    <cellStyle name="Milliers 5 3 2 5 3" xfId="3193"/>
    <cellStyle name="Milliers 5 3 2 5 4" xfId="5413"/>
    <cellStyle name="Milliers 5 3 2 6" xfId="2073"/>
    <cellStyle name="Milliers 5 3 2 6 2" xfId="4358"/>
    <cellStyle name="Milliers 5 3 2 6 3" xfId="6578"/>
    <cellStyle name="Milliers 5 3 2 7" xfId="1135"/>
    <cellStyle name="Milliers 5 3 2 7 2" xfId="3426"/>
    <cellStyle name="Milliers 5 3 2 7 3" xfId="5646"/>
    <cellStyle name="Milliers 5 3 2 8" xfId="2523"/>
    <cellStyle name="Milliers 5 3 2 9" xfId="4742"/>
    <cellStyle name="Milliers 5 3 3" xfId="310"/>
    <cellStyle name="Milliers 5 3 3 2" xfId="1932"/>
    <cellStyle name="Milliers 5 3 3 2 2" xfId="4220"/>
    <cellStyle name="Milliers 5 3 3 2 3" xfId="6440"/>
    <cellStyle name="Milliers 5 3 3 3" xfId="1247"/>
    <cellStyle name="Milliers 5 3 3 3 2" xfId="3535"/>
    <cellStyle name="Milliers 5 3 3 3 3" xfId="5755"/>
    <cellStyle name="Milliers 5 3 3 4" xfId="2632"/>
    <cellStyle name="Milliers 5 3 3 5" xfId="4852"/>
    <cellStyle name="Milliers 5 3 4" xfId="521"/>
    <cellStyle name="Milliers 5 3 4 2" xfId="1434"/>
    <cellStyle name="Milliers 5 3 4 2 2" xfId="3722"/>
    <cellStyle name="Milliers 5 3 4 2 3" xfId="5942"/>
    <cellStyle name="Milliers 5 3 4 3" xfId="2819"/>
    <cellStyle name="Milliers 5 3 4 4" xfId="5039"/>
    <cellStyle name="Milliers 5 3 5" xfId="711"/>
    <cellStyle name="Milliers 5 3 5 2" xfId="1622"/>
    <cellStyle name="Milliers 5 3 5 2 2" xfId="3910"/>
    <cellStyle name="Milliers 5 3 5 2 3" xfId="6130"/>
    <cellStyle name="Milliers 5 3 5 3" xfId="3007"/>
    <cellStyle name="Milliers 5 3 5 4" xfId="5227"/>
    <cellStyle name="Milliers 5 3 6" xfId="896"/>
    <cellStyle name="Milliers 5 3 6 2" xfId="1807"/>
    <cellStyle name="Milliers 5 3 6 2 2" xfId="4095"/>
    <cellStyle name="Milliers 5 3 6 2 3" xfId="6315"/>
    <cellStyle name="Milliers 5 3 6 3" xfId="3192"/>
    <cellStyle name="Milliers 5 3 6 4" xfId="5412"/>
    <cellStyle name="Milliers 5 3 7" xfId="2072"/>
    <cellStyle name="Milliers 5 3 7 2" xfId="4357"/>
    <cellStyle name="Milliers 5 3 7 3" xfId="6577"/>
    <cellStyle name="Milliers 5 3 8" xfId="1055"/>
    <cellStyle name="Milliers 5 3 8 2" xfId="3347"/>
    <cellStyle name="Milliers 5 3 8 3" xfId="5567"/>
    <cellStyle name="Milliers 5 3 9" xfId="2444"/>
    <cellStyle name="Milliers 5 4" xfId="61"/>
    <cellStyle name="Milliers 5 4 10" xfId="4673"/>
    <cellStyle name="Milliers 5 4 11" xfId="6926"/>
    <cellStyle name="Milliers 5 4 12" xfId="7112"/>
    <cellStyle name="Milliers 5 4 2" xfId="143"/>
    <cellStyle name="Milliers 5 4 2 10" xfId="6927"/>
    <cellStyle name="Milliers 5 4 2 11" xfId="7113"/>
    <cellStyle name="Milliers 5 4 2 2" xfId="313"/>
    <cellStyle name="Milliers 5 4 2 2 2" xfId="2319"/>
    <cellStyle name="Milliers 5 4 2 2 2 2" xfId="4529"/>
    <cellStyle name="Milliers 5 4 2 2 2 3" xfId="6748"/>
    <cellStyle name="Milliers 5 4 2 2 3" xfId="1250"/>
    <cellStyle name="Milliers 5 4 2 2 3 2" xfId="3538"/>
    <cellStyle name="Milliers 5 4 2 2 3 3" xfId="5758"/>
    <cellStyle name="Milliers 5 4 2 2 4" xfId="2635"/>
    <cellStyle name="Milliers 5 4 2 2 5" xfId="4855"/>
    <cellStyle name="Milliers 5 4 2 3" xfId="524"/>
    <cellStyle name="Milliers 5 4 2 3 2" xfId="1437"/>
    <cellStyle name="Milliers 5 4 2 3 2 2" xfId="3725"/>
    <cellStyle name="Milliers 5 4 2 3 2 3" xfId="5945"/>
    <cellStyle name="Milliers 5 4 2 3 3" xfId="2822"/>
    <cellStyle name="Milliers 5 4 2 3 4" xfId="5042"/>
    <cellStyle name="Milliers 5 4 2 4" xfId="714"/>
    <cellStyle name="Milliers 5 4 2 4 2" xfId="1625"/>
    <cellStyle name="Milliers 5 4 2 4 2 2" xfId="3913"/>
    <cellStyle name="Milliers 5 4 2 4 2 3" xfId="6133"/>
    <cellStyle name="Milliers 5 4 2 4 3" xfId="3010"/>
    <cellStyle name="Milliers 5 4 2 4 4" xfId="5230"/>
    <cellStyle name="Milliers 5 4 2 5" xfId="899"/>
    <cellStyle name="Milliers 5 4 2 5 2" xfId="1810"/>
    <cellStyle name="Milliers 5 4 2 5 2 2" xfId="4098"/>
    <cellStyle name="Milliers 5 4 2 5 2 3" xfId="6318"/>
    <cellStyle name="Milliers 5 4 2 5 3" xfId="3195"/>
    <cellStyle name="Milliers 5 4 2 5 4" xfId="5415"/>
    <cellStyle name="Milliers 5 4 2 6" xfId="2075"/>
    <cellStyle name="Milliers 5 4 2 6 2" xfId="4360"/>
    <cellStyle name="Milliers 5 4 2 6 3" xfId="6580"/>
    <cellStyle name="Milliers 5 4 2 7" xfId="1147"/>
    <cellStyle name="Milliers 5 4 2 7 2" xfId="3438"/>
    <cellStyle name="Milliers 5 4 2 7 3" xfId="5658"/>
    <cellStyle name="Milliers 5 4 2 8" xfId="2535"/>
    <cellStyle name="Milliers 5 4 2 9" xfId="4754"/>
    <cellStyle name="Milliers 5 4 3" xfId="312"/>
    <cellStyle name="Milliers 5 4 3 2" xfId="1980"/>
    <cellStyle name="Milliers 5 4 3 2 2" xfId="4266"/>
    <cellStyle name="Milliers 5 4 3 2 3" xfId="6486"/>
    <cellStyle name="Milliers 5 4 3 3" xfId="1249"/>
    <cellStyle name="Milliers 5 4 3 3 2" xfId="3537"/>
    <cellStyle name="Milliers 5 4 3 3 3" xfId="5757"/>
    <cellStyle name="Milliers 5 4 3 4" xfId="2634"/>
    <cellStyle name="Milliers 5 4 3 5" xfId="4854"/>
    <cellStyle name="Milliers 5 4 4" xfId="523"/>
    <cellStyle name="Milliers 5 4 4 2" xfId="1436"/>
    <cellStyle name="Milliers 5 4 4 2 2" xfId="3724"/>
    <cellStyle name="Milliers 5 4 4 2 3" xfId="5944"/>
    <cellStyle name="Milliers 5 4 4 3" xfId="2821"/>
    <cellStyle name="Milliers 5 4 4 4" xfId="5041"/>
    <cellStyle name="Milliers 5 4 5" xfId="713"/>
    <cellStyle name="Milliers 5 4 5 2" xfId="1624"/>
    <cellStyle name="Milliers 5 4 5 2 2" xfId="3912"/>
    <cellStyle name="Milliers 5 4 5 2 3" xfId="6132"/>
    <cellStyle name="Milliers 5 4 5 3" xfId="3009"/>
    <cellStyle name="Milliers 5 4 5 4" xfId="5229"/>
    <cellStyle name="Milliers 5 4 6" xfId="898"/>
    <cellStyle name="Milliers 5 4 6 2" xfId="1809"/>
    <cellStyle name="Milliers 5 4 6 2 2" xfId="4097"/>
    <cellStyle name="Milliers 5 4 6 2 3" xfId="6317"/>
    <cellStyle name="Milliers 5 4 6 3" xfId="3194"/>
    <cellStyle name="Milliers 5 4 6 4" xfId="5414"/>
    <cellStyle name="Milliers 5 4 7" xfId="2074"/>
    <cellStyle name="Milliers 5 4 7 2" xfId="4359"/>
    <cellStyle name="Milliers 5 4 7 3" xfId="6579"/>
    <cellStyle name="Milliers 5 4 8" xfId="1067"/>
    <cellStyle name="Milliers 5 4 8 2" xfId="3359"/>
    <cellStyle name="Milliers 5 4 8 3" xfId="5579"/>
    <cellStyle name="Milliers 5 4 9" xfId="2456"/>
    <cellStyle name="Milliers 5 5" xfId="73"/>
    <cellStyle name="Milliers 5 5 10" xfId="4685"/>
    <cellStyle name="Milliers 5 5 11" xfId="6928"/>
    <cellStyle name="Milliers 5 5 12" xfId="7114"/>
    <cellStyle name="Milliers 5 5 2" xfId="155"/>
    <cellStyle name="Milliers 5 5 2 10" xfId="6929"/>
    <cellStyle name="Milliers 5 5 2 11" xfId="7115"/>
    <cellStyle name="Milliers 5 5 2 2" xfId="315"/>
    <cellStyle name="Milliers 5 5 2 2 2" xfId="2320"/>
    <cellStyle name="Milliers 5 5 2 2 2 2" xfId="4530"/>
    <cellStyle name="Milliers 5 5 2 2 2 3" xfId="6749"/>
    <cellStyle name="Milliers 5 5 2 2 3" xfId="1252"/>
    <cellStyle name="Milliers 5 5 2 2 3 2" xfId="3540"/>
    <cellStyle name="Milliers 5 5 2 2 3 3" xfId="5760"/>
    <cellStyle name="Milliers 5 5 2 2 4" xfId="2637"/>
    <cellStyle name="Milliers 5 5 2 2 5" xfId="4857"/>
    <cellStyle name="Milliers 5 5 2 3" xfId="526"/>
    <cellStyle name="Milliers 5 5 2 3 2" xfId="1439"/>
    <cellStyle name="Milliers 5 5 2 3 2 2" xfId="3727"/>
    <cellStyle name="Milliers 5 5 2 3 2 3" xfId="5947"/>
    <cellStyle name="Milliers 5 5 2 3 3" xfId="2824"/>
    <cellStyle name="Milliers 5 5 2 3 4" xfId="5044"/>
    <cellStyle name="Milliers 5 5 2 4" xfId="716"/>
    <cellStyle name="Milliers 5 5 2 4 2" xfId="1627"/>
    <cellStyle name="Milliers 5 5 2 4 2 2" xfId="3915"/>
    <cellStyle name="Milliers 5 5 2 4 2 3" xfId="6135"/>
    <cellStyle name="Milliers 5 5 2 4 3" xfId="3012"/>
    <cellStyle name="Milliers 5 5 2 4 4" xfId="5232"/>
    <cellStyle name="Milliers 5 5 2 5" xfId="901"/>
    <cellStyle name="Milliers 5 5 2 5 2" xfId="1812"/>
    <cellStyle name="Milliers 5 5 2 5 2 2" xfId="4100"/>
    <cellStyle name="Milliers 5 5 2 5 2 3" xfId="6320"/>
    <cellStyle name="Milliers 5 5 2 5 3" xfId="3197"/>
    <cellStyle name="Milliers 5 5 2 5 4" xfId="5417"/>
    <cellStyle name="Milliers 5 5 2 6" xfId="2077"/>
    <cellStyle name="Milliers 5 5 2 6 2" xfId="4362"/>
    <cellStyle name="Milliers 5 5 2 6 3" xfId="6582"/>
    <cellStyle name="Milliers 5 5 2 7" xfId="1159"/>
    <cellStyle name="Milliers 5 5 2 7 2" xfId="3450"/>
    <cellStyle name="Milliers 5 5 2 7 3" xfId="5670"/>
    <cellStyle name="Milliers 5 5 2 8" xfId="2547"/>
    <cellStyle name="Milliers 5 5 2 9" xfId="4766"/>
    <cellStyle name="Milliers 5 5 3" xfId="314"/>
    <cellStyle name="Milliers 5 5 3 2" xfId="1967"/>
    <cellStyle name="Milliers 5 5 3 2 2" xfId="4253"/>
    <cellStyle name="Milliers 5 5 3 2 3" xfId="6473"/>
    <cellStyle name="Milliers 5 5 3 3" xfId="1251"/>
    <cellStyle name="Milliers 5 5 3 3 2" xfId="3539"/>
    <cellStyle name="Milliers 5 5 3 3 3" xfId="5759"/>
    <cellStyle name="Milliers 5 5 3 4" xfId="2636"/>
    <cellStyle name="Milliers 5 5 3 5" xfId="4856"/>
    <cellStyle name="Milliers 5 5 4" xfId="525"/>
    <cellStyle name="Milliers 5 5 4 2" xfId="1438"/>
    <cellStyle name="Milliers 5 5 4 2 2" xfId="3726"/>
    <cellStyle name="Milliers 5 5 4 2 3" xfId="5946"/>
    <cellStyle name="Milliers 5 5 4 3" xfId="2823"/>
    <cellStyle name="Milliers 5 5 4 4" xfId="5043"/>
    <cellStyle name="Milliers 5 5 5" xfId="715"/>
    <cellStyle name="Milliers 5 5 5 2" xfId="1626"/>
    <cellStyle name="Milliers 5 5 5 2 2" xfId="3914"/>
    <cellStyle name="Milliers 5 5 5 2 3" xfId="6134"/>
    <cellStyle name="Milliers 5 5 5 3" xfId="3011"/>
    <cellStyle name="Milliers 5 5 5 4" xfId="5231"/>
    <cellStyle name="Milliers 5 5 6" xfId="900"/>
    <cellStyle name="Milliers 5 5 6 2" xfId="1811"/>
    <cellStyle name="Milliers 5 5 6 2 2" xfId="4099"/>
    <cellStyle name="Milliers 5 5 6 2 3" xfId="6319"/>
    <cellStyle name="Milliers 5 5 6 3" xfId="3196"/>
    <cellStyle name="Milliers 5 5 6 4" xfId="5416"/>
    <cellStyle name="Milliers 5 5 7" xfId="2076"/>
    <cellStyle name="Milliers 5 5 7 2" xfId="4361"/>
    <cellStyle name="Milliers 5 5 7 3" xfId="6581"/>
    <cellStyle name="Milliers 5 5 8" xfId="1079"/>
    <cellStyle name="Milliers 5 5 8 2" xfId="3371"/>
    <cellStyle name="Milliers 5 5 8 3" xfId="5591"/>
    <cellStyle name="Milliers 5 5 9" xfId="2468"/>
    <cellStyle name="Milliers 5 6" xfId="85"/>
    <cellStyle name="Milliers 5 6 10" xfId="4697"/>
    <cellStyle name="Milliers 5 6 11" xfId="6930"/>
    <cellStyle name="Milliers 5 6 12" xfId="7116"/>
    <cellStyle name="Milliers 5 6 2" xfId="167"/>
    <cellStyle name="Milliers 5 6 2 10" xfId="6931"/>
    <cellStyle name="Milliers 5 6 2 11" xfId="7117"/>
    <cellStyle name="Milliers 5 6 2 2" xfId="317"/>
    <cellStyle name="Milliers 5 6 2 2 2" xfId="2321"/>
    <cellStyle name="Milliers 5 6 2 2 2 2" xfId="4531"/>
    <cellStyle name="Milliers 5 6 2 2 2 3" xfId="6750"/>
    <cellStyle name="Milliers 5 6 2 2 3" xfId="1254"/>
    <cellStyle name="Milliers 5 6 2 2 3 2" xfId="3542"/>
    <cellStyle name="Milliers 5 6 2 2 3 3" xfId="5762"/>
    <cellStyle name="Milliers 5 6 2 2 4" xfId="2639"/>
    <cellStyle name="Milliers 5 6 2 2 5" xfId="4859"/>
    <cellStyle name="Milliers 5 6 2 3" xfId="528"/>
    <cellStyle name="Milliers 5 6 2 3 2" xfId="1441"/>
    <cellStyle name="Milliers 5 6 2 3 2 2" xfId="3729"/>
    <cellStyle name="Milliers 5 6 2 3 2 3" xfId="5949"/>
    <cellStyle name="Milliers 5 6 2 3 3" xfId="2826"/>
    <cellStyle name="Milliers 5 6 2 3 4" xfId="5046"/>
    <cellStyle name="Milliers 5 6 2 4" xfId="718"/>
    <cellStyle name="Milliers 5 6 2 4 2" xfId="1629"/>
    <cellStyle name="Milliers 5 6 2 4 2 2" xfId="3917"/>
    <cellStyle name="Milliers 5 6 2 4 2 3" xfId="6137"/>
    <cellStyle name="Milliers 5 6 2 4 3" xfId="3014"/>
    <cellStyle name="Milliers 5 6 2 4 4" xfId="5234"/>
    <cellStyle name="Milliers 5 6 2 5" xfId="903"/>
    <cellStyle name="Milliers 5 6 2 5 2" xfId="1814"/>
    <cellStyle name="Milliers 5 6 2 5 2 2" xfId="4102"/>
    <cellStyle name="Milliers 5 6 2 5 2 3" xfId="6322"/>
    <cellStyle name="Milliers 5 6 2 5 3" xfId="3199"/>
    <cellStyle name="Milliers 5 6 2 5 4" xfId="5419"/>
    <cellStyle name="Milliers 5 6 2 6" xfId="2079"/>
    <cellStyle name="Milliers 5 6 2 6 2" xfId="4364"/>
    <cellStyle name="Milliers 5 6 2 6 3" xfId="6584"/>
    <cellStyle name="Milliers 5 6 2 7" xfId="1171"/>
    <cellStyle name="Milliers 5 6 2 7 2" xfId="3462"/>
    <cellStyle name="Milliers 5 6 2 7 3" xfId="5682"/>
    <cellStyle name="Milliers 5 6 2 8" xfId="2559"/>
    <cellStyle name="Milliers 5 6 2 9" xfId="4778"/>
    <cellStyle name="Milliers 5 6 3" xfId="316"/>
    <cellStyle name="Milliers 5 6 3 2" xfId="1964"/>
    <cellStyle name="Milliers 5 6 3 2 2" xfId="4250"/>
    <cellStyle name="Milliers 5 6 3 2 3" xfId="6470"/>
    <cellStyle name="Milliers 5 6 3 3" xfId="1253"/>
    <cellStyle name="Milliers 5 6 3 3 2" xfId="3541"/>
    <cellStyle name="Milliers 5 6 3 3 3" xfId="5761"/>
    <cellStyle name="Milliers 5 6 3 4" xfId="2638"/>
    <cellStyle name="Milliers 5 6 3 5" xfId="4858"/>
    <cellStyle name="Milliers 5 6 4" xfId="527"/>
    <cellStyle name="Milliers 5 6 4 2" xfId="1440"/>
    <cellStyle name="Milliers 5 6 4 2 2" xfId="3728"/>
    <cellStyle name="Milliers 5 6 4 2 3" xfId="5948"/>
    <cellStyle name="Milliers 5 6 4 3" xfId="2825"/>
    <cellStyle name="Milliers 5 6 4 4" xfId="5045"/>
    <cellStyle name="Milliers 5 6 5" xfId="717"/>
    <cellStyle name="Milliers 5 6 5 2" xfId="1628"/>
    <cellStyle name="Milliers 5 6 5 2 2" xfId="3916"/>
    <cellStyle name="Milliers 5 6 5 2 3" xfId="6136"/>
    <cellStyle name="Milliers 5 6 5 3" xfId="3013"/>
    <cellStyle name="Milliers 5 6 5 4" xfId="5233"/>
    <cellStyle name="Milliers 5 6 6" xfId="902"/>
    <cellStyle name="Milliers 5 6 6 2" xfId="1813"/>
    <cellStyle name="Milliers 5 6 6 2 2" xfId="4101"/>
    <cellStyle name="Milliers 5 6 6 2 3" xfId="6321"/>
    <cellStyle name="Milliers 5 6 6 3" xfId="3198"/>
    <cellStyle name="Milliers 5 6 6 4" xfId="5418"/>
    <cellStyle name="Milliers 5 6 7" xfId="2078"/>
    <cellStyle name="Milliers 5 6 7 2" xfId="4363"/>
    <cellStyle name="Milliers 5 6 7 3" xfId="6583"/>
    <cellStyle name="Milliers 5 6 8" xfId="1091"/>
    <cellStyle name="Milliers 5 6 8 2" xfId="3383"/>
    <cellStyle name="Milliers 5 6 8 3" xfId="5603"/>
    <cellStyle name="Milliers 5 6 9" xfId="2480"/>
    <cellStyle name="Milliers 5 7" xfId="108"/>
    <cellStyle name="Milliers 5 7 10" xfId="6932"/>
    <cellStyle name="Milliers 5 7 11" xfId="7118"/>
    <cellStyle name="Milliers 5 7 2" xfId="318"/>
    <cellStyle name="Milliers 5 7 2 2" xfId="2005"/>
    <cellStyle name="Milliers 5 7 2 2 2" xfId="4290"/>
    <cellStyle name="Milliers 5 7 2 2 3" xfId="6510"/>
    <cellStyle name="Milliers 5 7 2 3" xfId="1255"/>
    <cellStyle name="Milliers 5 7 2 3 2" xfId="3543"/>
    <cellStyle name="Milliers 5 7 2 3 3" xfId="5763"/>
    <cellStyle name="Milliers 5 7 2 4" xfId="2640"/>
    <cellStyle name="Milliers 5 7 2 5" xfId="4860"/>
    <cellStyle name="Milliers 5 7 3" xfId="529"/>
    <cellStyle name="Milliers 5 7 3 2" xfId="1442"/>
    <cellStyle name="Milliers 5 7 3 2 2" xfId="3730"/>
    <cellStyle name="Milliers 5 7 3 2 3" xfId="5950"/>
    <cellStyle name="Milliers 5 7 3 3" xfId="2827"/>
    <cellStyle name="Milliers 5 7 3 4" xfId="5047"/>
    <cellStyle name="Milliers 5 7 4" xfId="719"/>
    <cellStyle name="Milliers 5 7 4 2" xfId="1630"/>
    <cellStyle name="Milliers 5 7 4 2 2" xfId="3918"/>
    <cellStyle name="Milliers 5 7 4 2 3" xfId="6138"/>
    <cellStyle name="Milliers 5 7 4 3" xfId="3015"/>
    <cellStyle name="Milliers 5 7 4 4" xfId="5235"/>
    <cellStyle name="Milliers 5 7 5" xfId="904"/>
    <cellStyle name="Milliers 5 7 5 2" xfId="1815"/>
    <cellStyle name="Milliers 5 7 5 2 2" xfId="4103"/>
    <cellStyle name="Milliers 5 7 5 2 3" xfId="6323"/>
    <cellStyle name="Milliers 5 7 5 3" xfId="3200"/>
    <cellStyle name="Milliers 5 7 5 4" xfId="5420"/>
    <cellStyle name="Milliers 5 7 6" xfId="2080"/>
    <cellStyle name="Milliers 5 7 6 2" xfId="4365"/>
    <cellStyle name="Milliers 5 7 6 3" xfId="6585"/>
    <cellStyle name="Milliers 5 7 7" xfId="1112"/>
    <cellStyle name="Milliers 5 7 7 2" xfId="3403"/>
    <cellStyle name="Milliers 5 7 7 3" xfId="5623"/>
    <cellStyle name="Milliers 5 7 8" xfId="2500"/>
    <cellStyle name="Milliers 5 7 9" xfId="4719"/>
    <cellStyle name="Milliers 5 8" xfId="305"/>
    <cellStyle name="Milliers 5 8 2" xfId="1981"/>
    <cellStyle name="Milliers 5 8 2 2" xfId="4267"/>
    <cellStyle name="Milliers 5 8 2 3" xfId="6487"/>
    <cellStyle name="Milliers 5 8 3" xfId="2226"/>
    <cellStyle name="Milliers 5 8 4" xfId="1242"/>
    <cellStyle name="Milliers 5 8 4 2" xfId="3530"/>
    <cellStyle name="Milliers 5 8 4 3" xfId="5750"/>
    <cellStyle name="Milliers 5 8 5" xfId="2627"/>
    <cellStyle name="Milliers 5 8 6" xfId="4847"/>
    <cellStyle name="Milliers 5 9" xfId="516"/>
    <cellStyle name="Milliers 5 9 2" xfId="2362"/>
    <cellStyle name="Milliers 5 9 2 2" xfId="4566"/>
    <cellStyle name="Milliers 5 9 2 3" xfId="6786"/>
    <cellStyle name="Milliers 5 9 3" xfId="1429"/>
    <cellStyle name="Milliers 5 9 3 2" xfId="3717"/>
    <cellStyle name="Milliers 5 9 3 3" xfId="5937"/>
    <cellStyle name="Milliers 5 9 4" xfId="2814"/>
    <cellStyle name="Milliers 5 9 5" xfId="5034"/>
    <cellStyle name="Milliers 6" xfId="96"/>
    <cellStyle name="Milliers 6 2" xfId="319"/>
    <cellStyle name="Milliers 6 2 2" xfId="2322"/>
    <cellStyle name="Milliers 6 2 3" xfId="2227"/>
    <cellStyle name="Milliers 6 3" xfId="2402"/>
    <cellStyle name="Milliers 7" xfId="94"/>
    <cellStyle name="Milliers 7 2" xfId="320"/>
    <cellStyle name="Milliers 7 2 2" xfId="2323"/>
    <cellStyle name="Milliers 7 2 3" xfId="2228"/>
    <cellStyle name="Milliers 7 3" xfId="1972"/>
    <cellStyle name="Milliers 7 3 2" xfId="4258"/>
    <cellStyle name="Milliers 7 3 3" xfId="6478"/>
    <cellStyle name="Milliers 7 4" xfId="2292"/>
    <cellStyle name="Milliers 7 4 2" xfId="4510"/>
    <cellStyle name="Milliers 7 4 3" xfId="6729"/>
    <cellStyle name="Milliers 7 5" xfId="1100"/>
    <cellStyle name="Milliers 7 5 2" xfId="3392"/>
    <cellStyle name="Milliers 7 5 3" xfId="5612"/>
    <cellStyle name="Milliers 7 6" xfId="2489"/>
    <cellStyle name="Milliers 7 7" xfId="4706"/>
    <cellStyle name="Milliers 8" xfId="450"/>
    <cellStyle name="Milliers 8 10" xfId="7040"/>
    <cellStyle name="Milliers 8 11" xfId="7226"/>
    <cellStyle name="Milliers 8 2" xfId="637"/>
    <cellStyle name="Milliers 8 2 2" xfId="1550"/>
    <cellStyle name="Milliers 8 2 2 2" xfId="3838"/>
    <cellStyle name="Milliers 8 2 2 3" xfId="6058"/>
    <cellStyle name="Milliers 8 2 3" xfId="2935"/>
    <cellStyle name="Milliers 8 2 4" xfId="5155"/>
    <cellStyle name="Milliers 8 3" xfId="827"/>
    <cellStyle name="Milliers 8 3 2" xfId="1738"/>
    <cellStyle name="Milliers 8 3 2 2" xfId="4026"/>
    <cellStyle name="Milliers 8 3 2 3" xfId="6246"/>
    <cellStyle name="Milliers 8 3 3" xfId="3123"/>
    <cellStyle name="Milliers 8 3 4" xfId="5343"/>
    <cellStyle name="Milliers 8 4" xfId="1012"/>
    <cellStyle name="Milliers 8 4 2" xfId="1923"/>
    <cellStyle name="Milliers 8 4 2 2" xfId="4211"/>
    <cellStyle name="Milliers 8 4 2 3" xfId="6431"/>
    <cellStyle name="Milliers 8 4 3" xfId="3308"/>
    <cellStyle name="Milliers 8 4 4" xfId="5528"/>
    <cellStyle name="Milliers 8 5" xfId="2188"/>
    <cellStyle name="Milliers 8 5 2" xfId="4473"/>
    <cellStyle name="Milliers 8 5 3" xfId="6693"/>
    <cellStyle name="Milliers 8 6" xfId="2229"/>
    <cellStyle name="Milliers 8 7" xfId="1363"/>
    <cellStyle name="Milliers 8 7 2" xfId="3651"/>
    <cellStyle name="Milliers 8 7 3" xfId="5871"/>
    <cellStyle name="Milliers 8 8" xfId="2748"/>
    <cellStyle name="Milliers 8 9" xfId="4968"/>
    <cellStyle name="Milliers 9" xfId="182"/>
    <cellStyle name="Milliers 9 2" xfId="2297"/>
    <cellStyle name="Milliers 9 3" xfId="2230"/>
    <cellStyle name="Monétaire" xfId="2410" builtinId="4"/>
    <cellStyle name="Monétaire 10" xfId="2401"/>
    <cellStyle name="Monétaire 10 2" xfId="4585"/>
    <cellStyle name="Monétaire 10 3" xfId="6805"/>
    <cellStyle name="Monétaire 2" xfId="43"/>
    <cellStyle name="Monétaire 2 2" xfId="644"/>
    <cellStyle name="Monétaire 2 2 2" xfId="2371"/>
    <cellStyle name="Monétaire 2 2 3" xfId="2231"/>
    <cellStyle name="Monétaire 3" xfId="321"/>
    <cellStyle name="Monétaire 3 2" xfId="2279"/>
    <cellStyle name="Monétaire 3 2 2" xfId="4500"/>
    <cellStyle name="Monétaire 3 2 3" xfId="6719"/>
    <cellStyle name="Monétaire 3 3" xfId="2324"/>
    <cellStyle name="Monétaire 3 4" xfId="2232"/>
    <cellStyle name="Monétaire 3 4 2" xfId="4485"/>
    <cellStyle name="Monétaire 3 4 3" xfId="6704"/>
    <cellStyle name="Monétaire 4" xfId="451"/>
    <cellStyle name="Monétaire 4 10" xfId="7227"/>
    <cellStyle name="Monétaire 4 2" xfId="638"/>
    <cellStyle name="Monétaire 4 2 2" xfId="1551"/>
    <cellStyle name="Monétaire 4 2 2 2" xfId="3839"/>
    <cellStyle name="Monétaire 4 2 2 3" xfId="6059"/>
    <cellStyle name="Monétaire 4 2 3" xfId="2936"/>
    <cellStyle name="Monétaire 4 2 4" xfId="5156"/>
    <cellStyle name="Monétaire 4 3" xfId="828"/>
    <cellStyle name="Monétaire 4 3 2" xfId="1739"/>
    <cellStyle name="Monétaire 4 3 2 2" xfId="4027"/>
    <cellStyle name="Monétaire 4 3 2 3" xfId="6247"/>
    <cellStyle name="Monétaire 4 3 3" xfId="3124"/>
    <cellStyle name="Monétaire 4 3 4" xfId="5344"/>
    <cellStyle name="Monétaire 4 4" xfId="1013"/>
    <cellStyle name="Monétaire 4 4 2" xfId="1924"/>
    <cellStyle name="Monétaire 4 4 2 2" xfId="4212"/>
    <cellStyle name="Monétaire 4 4 2 3" xfId="6432"/>
    <cellStyle name="Monétaire 4 4 3" xfId="3309"/>
    <cellStyle name="Monétaire 4 4 4" xfId="5529"/>
    <cellStyle name="Monétaire 4 5" xfId="2189"/>
    <cellStyle name="Monétaire 4 5 2" xfId="4474"/>
    <cellStyle name="Monétaire 4 5 3" xfId="6694"/>
    <cellStyle name="Monétaire 4 6" xfId="1364"/>
    <cellStyle name="Monétaire 4 6 2" xfId="3652"/>
    <cellStyle name="Monétaire 4 6 3" xfId="5872"/>
    <cellStyle name="Monétaire 4 7" xfId="2749"/>
    <cellStyle name="Monétaire 4 8" xfId="4969"/>
    <cellStyle name="Monétaire 4 9" xfId="7041"/>
    <cellStyle name="Monétaire 5" xfId="181"/>
    <cellStyle name="Monétaire 6" xfId="175"/>
    <cellStyle name="Monétaire 6 2" xfId="1179"/>
    <cellStyle name="Monétaire 6 2 2" xfId="3470"/>
    <cellStyle name="Monétaire 6 2 3" xfId="5690"/>
    <cellStyle name="Monétaire 6 3" xfId="2567"/>
    <cellStyle name="Monétaire 6 4" xfId="4786"/>
    <cellStyle name="Monétaire 7" xfId="456"/>
    <cellStyle name="Monétaire 7 2" xfId="1369"/>
    <cellStyle name="Monétaire 7 2 2" xfId="3657"/>
    <cellStyle name="Monétaire 7 2 3" xfId="5877"/>
    <cellStyle name="Monétaire 7 3" xfId="2754"/>
    <cellStyle name="Monétaire 7 4" xfId="4974"/>
    <cellStyle name="Monétaire 8" xfId="643"/>
    <cellStyle name="Monétaire 8 2" xfId="1556"/>
    <cellStyle name="Monétaire 8 2 2" xfId="3844"/>
    <cellStyle name="Monétaire 8 2 3" xfId="6064"/>
    <cellStyle name="Monétaire 8 3" xfId="2941"/>
    <cellStyle name="Monétaire 8 4" xfId="5161"/>
    <cellStyle name="Monétaire 9" xfId="2397"/>
    <cellStyle name="Monétaire 9 2" xfId="4581"/>
    <cellStyle name="Monétaire 9 3" xfId="6801"/>
    <cellStyle name="Montant" xfId="2233"/>
    <cellStyle name="N°Invest" xfId="2234"/>
    <cellStyle name="Neutral" xfId="322"/>
    <cellStyle name="Neutre 2" xfId="323"/>
    <cellStyle name="Normal" xfId="0" builtinId="0"/>
    <cellStyle name="Normal 10" xfId="455"/>
    <cellStyle name="Normal 10 2" xfId="1017"/>
    <cellStyle name="Normal 10 2 2" xfId="3313"/>
    <cellStyle name="Normal 10 2 3" xfId="5533"/>
    <cellStyle name="Normal 10 3" xfId="2235"/>
    <cellStyle name="Normal 10 4" xfId="1368"/>
    <cellStyle name="Normal 10 4 2" xfId="3656"/>
    <cellStyle name="Normal 10 4 3" xfId="5876"/>
    <cellStyle name="Normal 10 5" xfId="2403"/>
    <cellStyle name="Normal 10 5 2" xfId="4586"/>
    <cellStyle name="Normal 10 5 3" xfId="6806"/>
    <cellStyle name="Normal 10 6" xfId="2407"/>
    <cellStyle name="Normal 10 6 2" xfId="4590"/>
    <cellStyle name="Normal 10 6 3" xfId="6810"/>
    <cellStyle name="Normal 10 7" xfId="2409"/>
    <cellStyle name="Normal 10 7 2" xfId="4592"/>
    <cellStyle name="Normal 10 7 3" xfId="6812"/>
    <cellStyle name="Normal 10 8" xfId="2753"/>
    <cellStyle name="Normal 10 9" xfId="4973"/>
    <cellStyle name="Normal 11" xfId="642"/>
    <cellStyle name="Normal 11 2" xfId="2370"/>
    <cellStyle name="Normal 11 2 2" xfId="4574"/>
    <cellStyle name="Normal 11 2 3" xfId="6794"/>
    <cellStyle name="Normal 11 3" xfId="2236"/>
    <cellStyle name="Normal 11 4" xfId="1555"/>
    <cellStyle name="Normal 11 4 2" xfId="3843"/>
    <cellStyle name="Normal 11 4 3" xfId="6063"/>
    <cellStyle name="Normal 11 5" xfId="2940"/>
    <cellStyle name="Normal 11 6" xfId="5160"/>
    <cellStyle name="Normal 12" xfId="831"/>
    <cellStyle name="Normal 12 2" xfId="2374"/>
    <cellStyle name="Normal 12 2 2" xfId="4576"/>
    <cellStyle name="Normal 12 2 3" xfId="6796"/>
    <cellStyle name="Normal 12 3" xfId="2199"/>
    <cellStyle name="Normal 12 4" xfId="1742"/>
    <cellStyle name="Normal 12 4 2" xfId="4030"/>
    <cellStyle name="Normal 12 4 3" xfId="6250"/>
    <cellStyle name="Normal 12 5" xfId="3127"/>
    <cellStyle name="Normal 12 6" xfId="5347"/>
    <cellStyle name="Normal 13" xfId="2282"/>
    <cellStyle name="Normal 13 2" xfId="4503"/>
    <cellStyle name="Normal 13 3" xfId="6722"/>
    <cellStyle name="Normal 14" xfId="2192"/>
    <cellStyle name="Normal 15" xfId="1016"/>
    <cellStyle name="Normal 15 2" xfId="2408"/>
    <cellStyle name="Normal 15 2 2" xfId="4591"/>
    <cellStyle name="Normal 15 2 3" xfId="6811"/>
    <cellStyle name="Normal 15 3" xfId="3312"/>
    <cellStyle name="Normal 15 4" xfId="5532"/>
    <cellStyle name="Normal 16" xfId="2396"/>
    <cellStyle name="Normal 16 2" xfId="4580"/>
    <cellStyle name="Normal 16 3" xfId="6800"/>
    <cellStyle name="Normal 17" xfId="2399"/>
    <cellStyle name="Normal 17 2" xfId="4583"/>
    <cellStyle name="Normal 17 3" xfId="6803"/>
    <cellStyle name="Normal 18" xfId="2404"/>
    <cellStyle name="Normal 18 2" xfId="4587"/>
    <cellStyle name="Normal 18 3" xfId="6807"/>
    <cellStyle name="Normal 19" xfId="6857"/>
    <cellStyle name="Normal 2" xfId="4"/>
    <cellStyle name="Normal 2 2" xfId="14"/>
    <cellStyle name="Normal 2 2 2" xfId="40"/>
    <cellStyle name="Normal 2 2 3" xfId="1028"/>
    <cellStyle name="Normal 2 2 3 2" xfId="2237"/>
    <cellStyle name="Normal 2 2 4" xfId="2198"/>
    <cellStyle name="Normal 2 3" xfId="324"/>
    <cellStyle name="Normal 2 4" xfId="646"/>
    <cellStyle name="Normal 2 4 2" xfId="2372"/>
    <cellStyle name="Normal 2 4 3" xfId="2238"/>
    <cellStyle name="Normal 2 4 4" xfId="2384"/>
    <cellStyle name="Normal 2 5" xfId="2385"/>
    <cellStyle name="Normal 2 7" xfId="7230"/>
    <cellStyle name="Normal 20" xfId="7044"/>
    <cellStyle name="Normal 3" xfId="5"/>
    <cellStyle name="Normal 3 2" xfId="12"/>
    <cellStyle name="Normal 3 2 2" xfId="2240"/>
    <cellStyle name="Normal 3 3" xfId="98"/>
    <cellStyle name="Normal 3 3 10" xfId="4709"/>
    <cellStyle name="Normal 3 3 11" xfId="6933"/>
    <cellStyle name="Normal 3 3 12" xfId="7119"/>
    <cellStyle name="Normal 3 3 2" xfId="326"/>
    <cellStyle name="Normal 3 3 2 10" xfId="6934"/>
    <cellStyle name="Normal 3 3 2 11" xfId="7120"/>
    <cellStyle name="Normal 3 3 2 2" xfId="531"/>
    <cellStyle name="Normal 3 3 2 2 2" xfId="1444"/>
    <cellStyle name="Normal 3 3 2 2 2 2" xfId="3732"/>
    <cellStyle name="Normal 3 3 2 2 2 3" xfId="5952"/>
    <cellStyle name="Normal 3 3 2 2 3" xfId="2829"/>
    <cellStyle name="Normal 3 3 2 2 4" xfId="5049"/>
    <cellStyle name="Normal 3 3 2 3" xfId="721"/>
    <cellStyle name="Normal 3 3 2 3 2" xfId="1632"/>
    <cellStyle name="Normal 3 3 2 3 2 2" xfId="3920"/>
    <cellStyle name="Normal 3 3 2 3 2 3" xfId="6140"/>
    <cellStyle name="Normal 3 3 2 3 3" xfId="3017"/>
    <cellStyle name="Normal 3 3 2 3 4" xfId="5237"/>
    <cellStyle name="Normal 3 3 2 4" xfId="906"/>
    <cellStyle name="Normal 3 3 2 4 2" xfId="1817"/>
    <cellStyle name="Normal 3 3 2 4 2 2" xfId="4105"/>
    <cellStyle name="Normal 3 3 2 4 2 3" xfId="6325"/>
    <cellStyle name="Normal 3 3 2 4 3" xfId="3202"/>
    <cellStyle name="Normal 3 3 2 4 4" xfId="5422"/>
    <cellStyle name="Normal 3 3 2 5" xfId="2082"/>
    <cellStyle name="Normal 3 3 2 5 2" xfId="4367"/>
    <cellStyle name="Normal 3 3 2 5 3" xfId="6587"/>
    <cellStyle name="Normal 3 3 2 6" xfId="2241"/>
    <cellStyle name="Normal 3 3 2 7" xfId="1257"/>
    <cellStyle name="Normal 3 3 2 7 2" xfId="3545"/>
    <cellStyle name="Normal 3 3 2 7 3" xfId="5765"/>
    <cellStyle name="Normal 3 3 2 8" xfId="2642"/>
    <cellStyle name="Normal 3 3 2 9" xfId="4862"/>
    <cellStyle name="Normal 3 3 3" xfId="325"/>
    <cellStyle name="Normal 3 3 3 2" xfId="2325"/>
    <cellStyle name="Normal 3 3 3 2 2" xfId="4532"/>
    <cellStyle name="Normal 3 3 3 2 3" xfId="6752"/>
    <cellStyle name="Normal 3 3 3 3" xfId="1256"/>
    <cellStyle name="Normal 3 3 3 3 2" xfId="3544"/>
    <cellStyle name="Normal 3 3 3 3 3" xfId="5764"/>
    <cellStyle name="Normal 3 3 3 4" xfId="2641"/>
    <cellStyle name="Normal 3 3 3 5" xfId="4861"/>
    <cellStyle name="Normal 3 3 4" xfId="530"/>
    <cellStyle name="Normal 3 3 4 2" xfId="1443"/>
    <cellStyle name="Normal 3 3 4 2 2" xfId="3731"/>
    <cellStyle name="Normal 3 3 4 2 3" xfId="5951"/>
    <cellStyle name="Normal 3 3 4 3" xfId="2828"/>
    <cellStyle name="Normal 3 3 4 4" xfId="5048"/>
    <cellStyle name="Normal 3 3 5" xfId="720"/>
    <cellStyle name="Normal 3 3 5 2" xfId="1631"/>
    <cellStyle name="Normal 3 3 5 2 2" xfId="3919"/>
    <cellStyle name="Normal 3 3 5 2 3" xfId="6139"/>
    <cellStyle name="Normal 3 3 5 3" xfId="3016"/>
    <cellStyle name="Normal 3 3 5 4" xfId="5236"/>
    <cellStyle name="Normal 3 3 6" xfId="905"/>
    <cellStyle name="Normal 3 3 6 2" xfId="1816"/>
    <cellStyle name="Normal 3 3 6 2 2" xfId="4104"/>
    <cellStyle name="Normal 3 3 6 2 3" xfId="6324"/>
    <cellStyle name="Normal 3 3 6 3" xfId="3201"/>
    <cellStyle name="Normal 3 3 6 4" xfId="5421"/>
    <cellStyle name="Normal 3 3 7" xfId="2081"/>
    <cellStyle name="Normal 3 3 7 2" xfId="4366"/>
    <cellStyle name="Normal 3 3 7 3" xfId="6586"/>
    <cellStyle name="Normal 3 3 8" xfId="1102"/>
    <cellStyle name="Normal 3 3 8 2" xfId="3393"/>
    <cellStyle name="Normal 3 3 8 3" xfId="5613"/>
    <cellStyle name="Normal 3 3 9" xfId="2490"/>
    <cellStyle name="Normal 3 4" xfId="1928"/>
    <cellStyle name="Normal 3 4 2" xfId="2239"/>
    <cellStyle name="Normal 3 4 3" xfId="1180"/>
    <cellStyle name="Normal 3 4 4" xfId="4216"/>
    <cellStyle name="Normal 3 4 5" xfId="6436"/>
    <cellStyle name="Normal 3 5" xfId="2196"/>
    <cellStyle name="Normal 3 5 2" xfId="2269"/>
    <cellStyle name="Normal 3 5 2 2" xfId="4490"/>
    <cellStyle name="Normal 3 5 2 3" xfId="6709"/>
    <cellStyle name="Normal 3 5 3" xfId="4477"/>
    <cellStyle name="Normal 3 5 4" xfId="6697"/>
    <cellStyle name="Normal 3 6" xfId="2286"/>
    <cellStyle name="Normal 3 6 2" xfId="4504"/>
    <cellStyle name="Normal 3 6 3" xfId="6723"/>
    <cellStyle name="Normal 3 7" xfId="1020"/>
    <cellStyle name="Normal 3 7 2" xfId="3314"/>
    <cellStyle name="Normal 3 7 3" xfId="5534"/>
    <cellStyle name="Normal 3 8" xfId="2411"/>
    <cellStyle name="Normal 3 9" xfId="4627"/>
    <cellStyle name="Normal 4" xfId="6"/>
    <cellStyle name="Normal 4 10" xfId="327"/>
    <cellStyle name="Normal 4 10 2" xfId="1973"/>
    <cellStyle name="Normal 4 10 2 2" xfId="4259"/>
    <cellStyle name="Normal 4 10 2 3" xfId="6479"/>
    <cellStyle name="Normal 4 10 3" xfId="2242"/>
    <cellStyle name="Normal 4 10 4" xfId="1258"/>
    <cellStyle name="Normal 4 10 4 2" xfId="3546"/>
    <cellStyle name="Normal 4 10 4 3" xfId="5766"/>
    <cellStyle name="Normal 4 10 5" xfId="2643"/>
    <cellStyle name="Normal 4 10 6" xfId="4863"/>
    <cellStyle name="Normal 4 11" xfId="532"/>
    <cellStyle name="Normal 4 11 2" xfId="2270"/>
    <cellStyle name="Normal 4 11 2 2" xfId="4491"/>
    <cellStyle name="Normal 4 11 2 3" xfId="6710"/>
    <cellStyle name="Normal 4 11 3" xfId="2363"/>
    <cellStyle name="Normal 4 11 3 2" xfId="4567"/>
    <cellStyle name="Normal 4 11 3 3" xfId="6787"/>
    <cellStyle name="Normal 4 11 4" xfId="1445"/>
    <cellStyle name="Normal 4 11 4 2" xfId="3733"/>
    <cellStyle name="Normal 4 11 4 3" xfId="5953"/>
    <cellStyle name="Normal 4 11 5" xfId="2830"/>
    <cellStyle name="Normal 4 11 6" xfId="5050"/>
    <cellStyle name="Normal 4 12" xfId="722"/>
    <cellStyle name="Normal 4 12 2" xfId="2373"/>
    <cellStyle name="Normal 4 12 2 2" xfId="4575"/>
    <cellStyle name="Normal 4 12 2 3" xfId="6795"/>
    <cellStyle name="Normal 4 12 3" xfId="1633"/>
    <cellStyle name="Normal 4 12 3 2" xfId="3921"/>
    <cellStyle name="Normal 4 12 3 3" xfId="6141"/>
    <cellStyle name="Normal 4 12 4" xfId="3018"/>
    <cellStyle name="Normal 4 12 5" xfId="5238"/>
    <cellStyle name="Normal 4 13" xfId="907"/>
    <cellStyle name="Normal 4 13 2" xfId="1818"/>
    <cellStyle name="Normal 4 13 2 2" xfId="4106"/>
    <cellStyle name="Normal 4 13 2 3" xfId="6326"/>
    <cellStyle name="Normal 4 13 3" xfId="3203"/>
    <cellStyle name="Normal 4 13 4" xfId="5423"/>
    <cellStyle name="Normal 4 14" xfId="2083"/>
    <cellStyle name="Normal 4 14 2" xfId="4368"/>
    <cellStyle name="Normal 4 14 3" xfId="6588"/>
    <cellStyle name="Normal 4 15" xfId="1021"/>
    <cellStyle name="Normal 4 15 2" xfId="3315"/>
    <cellStyle name="Normal 4 15 3" xfId="5535"/>
    <cellStyle name="Normal 4 16" xfId="2387"/>
    <cellStyle name="Normal 4 17" xfId="2412"/>
    <cellStyle name="Normal 4 18" xfId="4628"/>
    <cellStyle name="Normal 4 19" xfId="6935"/>
    <cellStyle name="Normal 4 2" xfId="24"/>
    <cellStyle name="Normal 4 2 10" xfId="723"/>
    <cellStyle name="Normal 4 2 10 2" xfId="1634"/>
    <cellStyle name="Normal 4 2 10 2 2" xfId="3922"/>
    <cellStyle name="Normal 4 2 10 2 3" xfId="6142"/>
    <cellStyle name="Normal 4 2 10 3" xfId="3019"/>
    <cellStyle name="Normal 4 2 10 4" xfId="5239"/>
    <cellStyle name="Normal 4 2 11" xfId="908"/>
    <cellStyle name="Normal 4 2 11 2" xfId="1819"/>
    <cellStyle name="Normal 4 2 11 2 2" xfId="4107"/>
    <cellStyle name="Normal 4 2 11 2 3" xfId="6327"/>
    <cellStyle name="Normal 4 2 11 3" xfId="3204"/>
    <cellStyle name="Normal 4 2 11 4" xfId="5424"/>
    <cellStyle name="Normal 4 2 12" xfId="2084"/>
    <cellStyle name="Normal 4 2 12 2" xfId="4369"/>
    <cellStyle name="Normal 4 2 12 3" xfId="6589"/>
    <cellStyle name="Normal 4 2 13" xfId="1034"/>
    <cellStyle name="Normal 4 2 13 2" xfId="3327"/>
    <cellStyle name="Normal 4 2 13 3" xfId="5547"/>
    <cellStyle name="Normal 4 2 14" xfId="2424"/>
    <cellStyle name="Normal 4 2 15" xfId="4640"/>
    <cellStyle name="Normal 4 2 16" xfId="6936"/>
    <cellStyle name="Normal 4 2 17" xfId="7122"/>
    <cellStyle name="Normal 4 2 2" xfId="36"/>
    <cellStyle name="Normal 4 2 2 10" xfId="2435"/>
    <cellStyle name="Normal 4 2 2 11" xfId="4652"/>
    <cellStyle name="Normal 4 2 2 12" xfId="6937"/>
    <cellStyle name="Normal 4 2 2 13" xfId="7123"/>
    <cellStyle name="Normal 4 2 2 2" xfId="122"/>
    <cellStyle name="Normal 4 2 2 2 10" xfId="4733"/>
    <cellStyle name="Normal 4 2 2 2 11" xfId="6938"/>
    <cellStyle name="Normal 4 2 2 2 12" xfId="7124"/>
    <cellStyle name="Normal 4 2 2 2 2" xfId="331"/>
    <cellStyle name="Normal 4 2 2 2 2 10" xfId="7125"/>
    <cellStyle name="Normal 4 2 2 2 2 2" xfId="536"/>
    <cellStyle name="Normal 4 2 2 2 2 2 2" xfId="1449"/>
    <cellStyle name="Normal 4 2 2 2 2 2 2 2" xfId="3737"/>
    <cellStyle name="Normal 4 2 2 2 2 2 2 3" xfId="5957"/>
    <cellStyle name="Normal 4 2 2 2 2 2 3" xfId="2834"/>
    <cellStyle name="Normal 4 2 2 2 2 2 4" xfId="5054"/>
    <cellStyle name="Normal 4 2 2 2 2 3" xfId="726"/>
    <cellStyle name="Normal 4 2 2 2 2 3 2" xfId="1637"/>
    <cellStyle name="Normal 4 2 2 2 2 3 2 2" xfId="3925"/>
    <cellStyle name="Normal 4 2 2 2 2 3 2 3" xfId="6145"/>
    <cellStyle name="Normal 4 2 2 2 2 3 3" xfId="3022"/>
    <cellStyle name="Normal 4 2 2 2 2 3 4" xfId="5242"/>
    <cellStyle name="Normal 4 2 2 2 2 4" xfId="911"/>
    <cellStyle name="Normal 4 2 2 2 2 4 2" xfId="1822"/>
    <cellStyle name="Normal 4 2 2 2 2 4 2 2" xfId="4110"/>
    <cellStyle name="Normal 4 2 2 2 2 4 2 3" xfId="6330"/>
    <cellStyle name="Normal 4 2 2 2 2 4 3" xfId="3207"/>
    <cellStyle name="Normal 4 2 2 2 2 4 4" xfId="5427"/>
    <cellStyle name="Normal 4 2 2 2 2 5" xfId="2087"/>
    <cellStyle name="Normal 4 2 2 2 2 5 2" xfId="4372"/>
    <cellStyle name="Normal 4 2 2 2 2 5 3" xfId="6592"/>
    <cellStyle name="Normal 4 2 2 2 2 6" xfId="1262"/>
    <cellStyle name="Normal 4 2 2 2 2 6 2" xfId="3550"/>
    <cellStyle name="Normal 4 2 2 2 2 6 3" xfId="5770"/>
    <cellStyle name="Normal 4 2 2 2 2 7" xfId="2647"/>
    <cellStyle name="Normal 4 2 2 2 2 8" xfId="4867"/>
    <cellStyle name="Normal 4 2 2 2 2 9" xfId="6939"/>
    <cellStyle name="Normal 4 2 2 2 3" xfId="330"/>
    <cellStyle name="Normal 4 2 2 2 3 2" xfId="1261"/>
    <cellStyle name="Normal 4 2 2 2 3 2 2" xfId="3549"/>
    <cellStyle name="Normal 4 2 2 2 3 2 3" xfId="5769"/>
    <cellStyle name="Normal 4 2 2 2 3 3" xfId="2646"/>
    <cellStyle name="Normal 4 2 2 2 3 4" xfId="4866"/>
    <cellStyle name="Normal 4 2 2 2 4" xfId="535"/>
    <cellStyle name="Normal 4 2 2 2 4 2" xfId="1448"/>
    <cellStyle name="Normal 4 2 2 2 4 2 2" xfId="3736"/>
    <cellStyle name="Normal 4 2 2 2 4 2 3" xfId="5956"/>
    <cellStyle name="Normal 4 2 2 2 4 3" xfId="2833"/>
    <cellStyle name="Normal 4 2 2 2 4 4" xfId="5053"/>
    <cellStyle name="Normal 4 2 2 2 5" xfId="725"/>
    <cellStyle name="Normal 4 2 2 2 5 2" xfId="1636"/>
    <cellStyle name="Normal 4 2 2 2 5 2 2" xfId="3924"/>
    <cellStyle name="Normal 4 2 2 2 5 2 3" xfId="6144"/>
    <cellStyle name="Normal 4 2 2 2 5 3" xfId="3021"/>
    <cellStyle name="Normal 4 2 2 2 5 4" xfId="5241"/>
    <cellStyle name="Normal 4 2 2 2 6" xfId="910"/>
    <cellStyle name="Normal 4 2 2 2 6 2" xfId="1821"/>
    <cellStyle name="Normal 4 2 2 2 6 2 2" xfId="4109"/>
    <cellStyle name="Normal 4 2 2 2 6 2 3" xfId="6329"/>
    <cellStyle name="Normal 4 2 2 2 6 3" xfId="3206"/>
    <cellStyle name="Normal 4 2 2 2 6 4" xfId="5426"/>
    <cellStyle name="Normal 4 2 2 2 7" xfId="2086"/>
    <cellStyle name="Normal 4 2 2 2 7 2" xfId="4371"/>
    <cellStyle name="Normal 4 2 2 2 7 3" xfId="6591"/>
    <cellStyle name="Normal 4 2 2 2 8" xfId="1126"/>
    <cellStyle name="Normal 4 2 2 2 8 2" xfId="3417"/>
    <cellStyle name="Normal 4 2 2 2 8 3" xfId="5637"/>
    <cellStyle name="Normal 4 2 2 2 9" xfId="2514"/>
    <cellStyle name="Normal 4 2 2 3" xfId="332"/>
    <cellStyle name="Normal 4 2 2 3 10" xfId="7126"/>
    <cellStyle name="Normal 4 2 2 3 2" xfId="537"/>
    <cellStyle name="Normal 4 2 2 3 2 2" xfId="1450"/>
    <cellStyle name="Normal 4 2 2 3 2 2 2" xfId="3738"/>
    <cellStyle name="Normal 4 2 2 3 2 2 3" xfId="5958"/>
    <cellStyle name="Normal 4 2 2 3 2 3" xfId="2835"/>
    <cellStyle name="Normal 4 2 2 3 2 4" xfId="5055"/>
    <cellStyle name="Normal 4 2 2 3 3" xfId="727"/>
    <cellStyle name="Normal 4 2 2 3 3 2" xfId="1638"/>
    <cellStyle name="Normal 4 2 2 3 3 2 2" xfId="3926"/>
    <cellStyle name="Normal 4 2 2 3 3 2 3" xfId="6146"/>
    <cellStyle name="Normal 4 2 2 3 3 3" xfId="3023"/>
    <cellStyle name="Normal 4 2 2 3 3 4" xfId="5243"/>
    <cellStyle name="Normal 4 2 2 3 4" xfId="912"/>
    <cellStyle name="Normal 4 2 2 3 4 2" xfId="1823"/>
    <cellStyle name="Normal 4 2 2 3 4 2 2" xfId="4111"/>
    <cellStyle name="Normal 4 2 2 3 4 2 3" xfId="6331"/>
    <cellStyle name="Normal 4 2 2 3 4 3" xfId="3208"/>
    <cellStyle name="Normal 4 2 2 3 4 4" xfId="5428"/>
    <cellStyle name="Normal 4 2 2 3 5" xfId="2088"/>
    <cellStyle name="Normal 4 2 2 3 5 2" xfId="4373"/>
    <cellStyle name="Normal 4 2 2 3 5 3" xfId="6593"/>
    <cellStyle name="Normal 4 2 2 3 6" xfId="1263"/>
    <cellStyle name="Normal 4 2 2 3 6 2" xfId="3551"/>
    <cellStyle name="Normal 4 2 2 3 6 3" xfId="5771"/>
    <cellStyle name="Normal 4 2 2 3 7" xfId="2648"/>
    <cellStyle name="Normal 4 2 2 3 8" xfId="4868"/>
    <cellStyle name="Normal 4 2 2 3 9" xfId="6940"/>
    <cellStyle name="Normal 4 2 2 4" xfId="329"/>
    <cellStyle name="Normal 4 2 2 4 2" xfId="1260"/>
    <cellStyle name="Normal 4 2 2 4 2 2" xfId="3548"/>
    <cellStyle name="Normal 4 2 2 4 2 3" xfId="5768"/>
    <cellStyle name="Normal 4 2 2 4 3" xfId="2645"/>
    <cellStyle name="Normal 4 2 2 4 4" xfId="4865"/>
    <cellStyle name="Normal 4 2 2 5" xfId="534"/>
    <cellStyle name="Normal 4 2 2 5 2" xfId="1447"/>
    <cellStyle name="Normal 4 2 2 5 2 2" xfId="3735"/>
    <cellStyle name="Normal 4 2 2 5 2 3" xfId="5955"/>
    <cellStyle name="Normal 4 2 2 5 3" xfId="2832"/>
    <cellStyle name="Normal 4 2 2 5 4" xfId="5052"/>
    <cellStyle name="Normal 4 2 2 6" xfId="724"/>
    <cellStyle name="Normal 4 2 2 6 2" xfId="1635"/>
    <cellStyle name="Normal 4 2 2 6 2 2" xfId="3923"/>
    <cellStyle name="Normal 4 2 2 6 2 3" xfId="6143"/>
    <cellStyle name="Normal 4 2 2 6 3" xfId="3020"/>
    <cellStyle name="Normal 4 2 2 6 4" xfId="5240"/>
    <cellStyle name="Normal 4 2 2 7" xfId="909"/>
    <cellStyle name="Normal 4 2 2 7 2" xfId="1820"/>
    <cellStyle name="Normal 4 2 2 7 2 2" xfId="4108"/>
    <cellStyle name="Normal 4 2 2 7 2 3" xfId="6328"/>
    <cellStyle name="Normal 4 2 2 7 3" xfId="3205"/>
    <cellStyle name="Normal 4 2 2 7 4" xfId="5425"/>
    <cellStyle name="Normal 4 2 2 8" xfId="2085"/>
    <cellStyle name="Normal 4 2 2 8 2" xfId="4370"/>
    <cellStyle name="Normal 4 2 2 8 3" xfId="6590"/>
    <cellStyle name="Normal 4 2 2 9" xfId="1045"/>
    <cellStyle name="Normal 4 2 2 9 2" xfId="3338"/>
    <cellStyle name="Normal 4 2 2 9 3" xfId="5558"/>
    <cellStyle name="Normal 4 2 3" xfId="52"/>
    <cellStyle name="Normal 4 2 3 10" xfId="4664"/>
    <cellStyle name="Normal 4 2 3 11" xfId="6941"/>
    <cellStyle name="Normal 4 2 3 12" xfId="7127"/>
    <cellStyle name="Normal 4 2 3 2" xfId="134"/>
    <cellStyle name="Normal 4 2 3 2 10" xfId="6942"/>
    <cellStyle name="Normal 4 2 3 2 11" xfId="7128"/>
    <cellStyle name="Normal 4 2 3 2 2" xfId="334"/>
    <cellStyle name="Normal 4 2 3 2 2 2" xfId="2326"/>
    <cellStyle name="Normal 4 2 3 2 2 2 2" xfId="4533"/>
    <cellStyle name="Normal 4 2 3 2 2 2 3" xfId="6753"/>
    <cellStyle name="Normal 4 2 3 2 2 3" xfId="1265"/>
    <cellStyle name="Normal 4 2 3 2 2 3 2" xfId="3553"/>
    <cellStyle name="Normal 4 2 3 2 2 3 3" xfId="5773"/>
    <cellStyle name="Normal 4 2 3 2 2 4" xfId="2650"/>
    <cellStyle name="Normal 4 2 3 2 2 5" xfId="4870"/>
    <cellStyle name="Normal 4 2 3 2 3" xfId="539"/>
    <cellStyle name="Normal 4 2 3 2 3 2" xfId="1452"/>
    <cellStyle name="Normal 4 2 3 2 3 2 2" xfId="3740"/>
    <cellStyle name="Normal 4 2 3 2 3 2 3" xfId="5960"/>
    <cellStyle name="Normal 4 2 3 2 3 3" xfId="2837"/>
    <cellStyle name="Normal 4 2 3 2 3 4" xfId="5057"/>
    <cellStyle name="Normal 4 2 3 2 4" xfId="729"/>
    <cellStyle name="Normal 4 2 3 2 4 2" xfId="1640"/>
    <cellStyle name="Normal 4 2 3 2 4 2 2" xfId="3928"/>
    <cellStyle name="Normal 4 2 3 2 4 2 3" xfId="6148"/>
    <cellStyle name="Normal 4 2 3 2 4 3" xfId="3025"/>
    <cellStyle name="Normal 4 2 3 2 4 4" xfId="5245"/>
    <cellStyle name="Normal 4 2 3 2 5" xfId="914"/>
    <cellStyle name="Normal 4 2 3 2 5 2" xfId="1825"/>
    <cellStyle name="Normal 4 2 3 2 5 2 2" xfId="4113"/>
    <cellStyle name="Normal 4 2 3 2 5 2 3" xfId="6333"/>
    <cellStyle name="Normal 4 2 3 2 5 3" xfId="3210"/>
    <cellStyle name="Normal 4 2 3 2 5 4" xfId="5430"/>
    <cellStyle name="Normal 4 2 3 2 6" xfId="2090"/>
    <cellStyle name="Normal 4 2 3 2 6 2" xfId="4375"/>
    <cellStyle name="Normal 4 2 3 2 6 3" xfId="6595"/>
    <cellStyle name="Normal 4 2 3 2 7" xfId="1138"/>
    <cellStyle name="Normal 4 2 3 2 7 2" xfId="3429"/>
    <cellStyle name="Normal 4 2 3 2 7 3" xfId="5649"/>
    <cellStyle name="Normal 4 2 3 2 8" xfId="2526"/>
    <cellStyle name="Normal 4 2 3 2 9" xfId="4745"/>
    <cellStyle name="Normal 4 2 3 3" xfId="333"/>
    <cellStyle name="Normal 4 2 3 3 2" xfId="1953"/>
    <cellStyle name="Normal 4 2 3 3 2 2" xfId="4240"/>
    <cellStyle name="Normal 4 2 3 3 2 3" xfId="6460"/>
    <cellStyle name="Normal 4 2 3 3 3" xfId="1264"/>
    <cellStyle name="Normal 4 2 3 3 3 2" xfId="3552"/>
    <cellStyle name="Normal 4 2 3 3 3 3" xfId="5772"/>
    <cellStyle name="Normal 4 2 3 3 4" xfId="2649"/>
    <cellStyle name="Normal 4 2 3 3 5" xfId="4869"/>
    <cellStyle name="Normal 4 2 3 4" xfId="538"/>
    <cellStyle name="Normal 4 2 3 4 2" xfId="1451"/>
    <cellStyle name="Normal 4 2 3 4 2 2" xfId="3739"/>
    <cellStyle name="Normal 4 2 3 4 2 3" xfId="5959"/>
    <cellStyle name="Normal 4 2 3 4 3" xfId="2836"/>
    <cellStyle name="Normal 4 2 3 4 4" xfId="5056"/>
    <cellStyle name="Normal 4 2 3 5" xfId="728"/>
    <cellStyle name="Normal 4 2 3 5 2" xfId="1639"/>
    <cellStyle name="Normal 4 2 3 5 2 2" xfId="3927"/>
    <cellStyle name="Normal 4 2 3 5 2 3" xfId="6147"/>
    <cellStyle name="Normal 4 2 3 5 3" xfId="3024"/>
    <cellStyle name="Normal 4 2 3 5 4" xfId="5244"/>
    <cellStyle name="Normal 4 2 3 6" xfId="913"/>
    <cellStyle name="Normal 4 2 3 6 2" xfId="1824"/>
    <cellStyle name="Normal 4 2 3 6 2 2" xfId="4112"/>
    <cellStyle name="Normal 4 2 3 6 2 3" xfId="6332"/>
    <cellStyle name="Normal 4 2 3 6 3" xfId="3209"/>
    <cellStyle name="Normal 4 2 3 6 4" xfId="5429"/>
    <cellStyle name="Normal 4 2 3 7" xfId="2089"/>
    <cellStyle name="Normal 4 2 3 7 2" xfId="4374"/>
    <cellStyle name="Normal 4 2 3 7 3" xfId="6594"/>
    <cellStyle name="Normal 4 2 3 8" xfId="1058"/>
    <cellStyle name="Normal 4 2 3 8 2" xfId="3350"/>
    <cellStyle name="Normal 4 2 3 8 3" xfId="5570"/>
    <cellStyle name="Normal 4 2 3 9" xfId="2447"/>
    <cellStyle name="Normal 4 2 4" xfId="64"/>
    <cellStyle name="Normal 4 2 4 10" xfId="4676"/>
    <cellStyle name="Normal 4 2 4 11" xfId="6943"/>
    <cellStyle name="Normal 4 2 4 12" xfId="7129"/>
    <cellStyle name="Normal 4 2 4 2" xfId="146"/>
    <cellStyle name="Normal 4 2 4 2 10" xfId="6944"/>
    <cellStyle name="Normal 4 2 4 2 11" xfId="7130"/>
    <cellStyle name="Normal 4 2 4 2 2" xfId="336"/>
    <cellStyle name="Normal 4 2 4 2 2 2" xfId="2327"/>
    <cellStyle name="Normal 4 2 4 2 2 2 2" xfId="4534"/>
    <cellStyle name="Normal 4 2 4 2 2 2 3" xfId="6754"/>
    <cellStyle name="Normal 4 2 4 2 2 3" xfId="1267"/>
    <cellStyle name="Normal 4 2 4 2 2 3 2" xfId="3555"/>
    <cellStyle name="Normal 4 2 4 2 2 3 3" xfId="5775"/>
    <cellStyle name="Normal 4 2 4 2 2 4" xfId="2652"/>
    <cellStyle name="Normal 4 2 4 2 2 5" xfId="4872"/>
    <cellStyle name="Normal 4 2 4 2 3" xfId="541"/>
    <cellStyle name="Normal 4 2 4 2 3 2" xfId="1454"/>
    <cellStyle name="Normal 4 2 4 2 3 2 2" xfId="3742"/>
    <cellStyle name="Normal 4 2 4 2 3 2 3" xfId="5962"/>
    <cellStyle name="Normal 4 2 4 2 3 3" xfId="2839"/>
    <cellStyle name="Normal 4 2 4 2 3 4" xfId="5059"/>
    <cellStyle name="Normal 4 2 4 2 4" xfId="731"/>
    <cellStyle name="Normal 4 2 4 2 4 2" xfId="1642"/>
    <cellStyle name="Normal 4 2 4 2 4 2 2" xfId="3930"/>
    <cellStyle name="Normal 4 2 4 2 4 2 3" xfId="6150"/>
    <cellStyle name="Normal 4 2 4 2 4 3" xfId="3027"/>
    <cellStyle name="Normal 4 2 4 2 4 4" xfId="5247"/>
    <cellStyle name="Normal 4 2 4 2 5" xfId="916"/>
    <cellStyle name="Normal 4 2 4 2 5 2" xfId="1827"/>
    <cellStyle name="Normal 4 2 4 2 5 2 2" xfId="4115"/>
    <cellStyle name="Normal 4 2 4 2 5 2 3" xfId="6335"/>
    <cellStyle name="Normal 4 2 4 2 5 3" xfId="3212"/>
    <cellStyle name="Normal 4 2 4 2 5 4" xfId="5432"/>
    <cellStyle name="Normal 4 2 4 2 6" xfId="2092"/>
    <cellStyle name="Normal 4 2 4 2 6 2" xfId="4377"/>
    <cellStyle name="Normal 4 2 4 2 6 3" xfId="6597"/>
    <cellStyle name="Normal 4 2 4 2 7" xfId="1150"/>
    <cellStyle name="Normal 4 2 4 2 7 2" xfId="3441"/>
    <cellStyle name="Normal 4 2 4 2 7 3" xfId="5661"/>
    <cellStyle name="Normal 4 2 4 2 8" xfId="2538"/>
    <cellStyle name="Normal 4 2 4 2 9" xfId="4757"/>
    <cellStyle name="Normal 4 2 4 3" xfId="335"/>
    <cellStyle name="Normal 4 2 4 3 2" xfId="1987"/>
    <cellStyle name="Normal 4 2 4 3 2 2" xfId="4273"/>
    <cellStyle name="Normal 4 2 4 3 2 3" xfId="6493"/>
    <cellStyle name="Normal 4 2 4 3 3" xfId="1266"/>
    <cellStyle name="Normal 4 2 4 3 3 2" xfId="3554"/>
    <cellStyle name="Normal 4 2 4 3 3 3" xfId="5774"/>
    <cellStyle name="Normal 4 2 4 3 4" xfId="2651"/>
    <cellStyle name="Normal 4 2 4 3 5" xfId="4871"/>
    <cellStyle name="Normal 4 2 4 4" xfId="540"/>
    <cellStyle name="Normal 4 2 4 4 2" xfId="1453"/>
    <cellStyle name="Normal 4 2 4 4 2 2" xfId="3741"/>
    <cellStyle name="Normal 4 2 4 4 2 3" xfId="5961"/>
    <cellStyle name="Normal 4 2 4 4 3" xfId="2838"/>
    <cellStyle name="Normal 4 2 4 4 4" xfId="5058"/>
    <cellStyle name="Normal 4 2 4 5" xfId="730"/>
    <cellStyle name="Normal 4 2 4 5 2" xfId="1641"/>
    <cellStyle name="Normal 4 2 4 5 2 2" xfId="3929"/>
    <cellStyle name="Normal 4 2 4 5 2 3" xfId="6149"/>
    <cellStyle name="Normal 4 2 4 5 3" xfId="3026"/>
    <cellStyle name="Normal 4 2 4 5 4" xfId="5246"/>
    <cellStyle name="Normal 4 2 4 6" xfId="915"/>
    <cellStyle name="Normal 4 2 4 6 2" xfId="1826"/>
    <cellStyle name="Normal 4 2 4 6 2 2" xfId="4114"/>
    <cellStyle name="Normal 4 2 4 6 2 3" xfId="6334"/>
    <cellStyle name="Normal 4 2 4 6 3" xfId="3211"/>
    <cellStyle name="Normal 4 2 4 6 4" xfId="5431"/>
    <cellStyle name="Normal 4 2 4 7" xfId="2091"/>
    <cellStyle name="Normal 4 2 4 7 2" xfId="4376"/>
    <cellStyle name="Normal 4 2 4 7 3" xfId="6596"/>
    <cellStyle name="Normal 4 2 4 8" xfId="1070"/>
    <cellStyle name="Normal 4 2 4 8 2" xfId="3362"/>
    <cellStyle name="Normal 4 2 4 8 3" xfId="5582"/>
    <cellStyle name="Normal 4 2 4 9" xfId="2459"/>
    <cellStyle name="Normal 4 2 5" xfId="76"/>
    <cellStyle name="Normal 4 2 5 10" xfId="4688"/>
    <cellStyle name="Normal 4 2 5 11" xfId="6945"/>
    <cellStyle name="Normal 4 2 5 12" xfId="7131"/>
    <cellStyle name="Normal 4 2 5 2" xfId="158"/>
    <cellStyle name="Normal 4 2 5 2 10" xfId="6946"/>
    <cellStyle name="Normal 4 2 5 2 11" xfId="7132"/>
    <cellStyle name="Normal 4 2 5 2 2" xfId="338"/>
    <cellStyle name="Normal 4 2 5 2 2 2" xfId="2328"/>
    <cellStyle name="Normal 4 2 5 2 2 2 2" xfId="4535"/>
    <cellStyle name="Normal 4 2 5 2 2 2 3" xfId="6755"/>
    <cellStyle name="Normal 4 2 5 2 2 3" xfId="1269"/>
    <cellStyle name="Normal 4 2 5 2 2 3 2" xfId="3557"/>
    <cellStyle name="Normal 4 2 5 2 2 3 3" xfId="5777"/>
    <cellStyle name="Normal 4 2 5 2 2 4" xfId="2654"/>
    <cellStyle name="Normal 4 2 5 2 2 5" xfId="4874"/>
    <cellStyle name="Normal 4 2 5 2 3" xfId="543"/>
    <cellStyle name="Normal 4 2 5 2 3 2" xfId="1456"/>
    <cellStyle name="Normal 4 2 5 2 3 2 2" xfId="3744"/>
    <cellStyle name="Normal 4 2 5 2 3 2 3" xfId="5964"/>
    <cellStyle name="Normal 4 2 5 2 3 3" xfId="2841"/>
    <cellStyle name="Normal 4 2 5 2 3 4" xfId="5061"/>
    <cellStyle name="Normal 4 2 5 2 4" xfId="733"/>
    <cellStyle name="Normal 4 2 5 2 4 2" xfId="1644"/>
    <cellStyle name="Normal 4 2 5 2 4 2 2" xfId="3932"/>
    <cellStyle name="Normal 4 2 5 2 4 2 3" xfId="6152"/>
    <cellStyle name="Normal 4 2 5 2 4 3" xfId="3029"/>
    <cellStyle name="Normal 4 2 5 2 4 4" xfId="5249"/>
    <cellStyle name="Normal 4 2 5 2 5" xfId="918"/>
    <cellStyle name="Normal 4 2 5 2 5 2" xfId="1829"/>
    <cellStyle name="Normal 4 2 5 2 5 2 2" xfId="4117"/>
    <cellStyle name="Normal 4 2 5 2 5 2 3" xfId="6337"/>
    <cellStyle name="Normal 4 2 5 2 5 3" xfId="3214"/>
    <cellStyle name="Normal 4 2 5 2 5 4" xfId="5434"/>
    <cellStyle name="Normal 4 2 5 2 6" xfId="2094"/>
    <cellStyle name="Normal 4 2 5 2 6 2" xfId="4379"/>
    <cellStyle name="Normal 4 2 5 2 6 3" xfId="6599"/>
    <cellStyle name="Normal 4 2 5 2 7" xfId="1162"/>
    <cellStyle name="Normal 4 2 5 2 7 2" xfId="3453"/>
    <cellStyle name="Normal 4 2 5 2 7 3" xfId="5673"/>
    <cellStyle name="Normal 4 2 5 2 8" xfId="2550"/>
    <cellStyle name="Normal 4 2 5 2 9" xfId="4769"/>
    <cellStyle name="Normal 4 2 5 3" xfId="337"/>
    <cellStyle name="Normal 4 2 5 3 2" xfId="1934"/>
    <cellStyle name="Normal 4 2 5 3 2 2" xfId="4222"/>
    <cellStyle name="Normal 4 2 5 3 2 3" xfId="6442"/>
    <cellStyle name="Normal 4 2 5 3 3" xfId="1268"/>
    <cellStyle name="Normal 4 2 5 3 3 2" xfId="3556"/>
    <cellStyle name="Normal 4 2 5 3 3 3" xfId="5776"/>
    <cellStyle name="Normal 4 2 5 3 4" xfId="2653"/>
    <cellStyle name="Normal 4 2 5 3 5" xfId="4873"/>
    <cellStyle name="Normal 4 2 5 4" xfId="542"/>
    <cellStyle name="Normal 4 2 5 4 2" xfId="1455"/>
    <cellStyle name="Normal 4 2 5 4 2 2" xfId="3743"/>
    <cellStyle name="Normal 4 2 5 4 2 3" xfId="5963"/>
    <cellStyle name="Normal 4 2 5 4 3" xfId="2840"/>
    <cellStyle name="Normal 4 2 5 4 4" xfId="5060"/>
    <cellStyle name="Normal 4 2 5 5" xfId="732"/>
    <cellStyle name="Normal 4 2 5 5 2" xfId="1643"/>
    <cellStyle name="Normal 4 2 5 5 2 2" xfId="3931"/>
    <cellStyle name="Normal 4 2 5 5 2 3" xfId="6151"/>
    <cellStyle name="Normal 4 2 5 5 3" xfId="3028"/>
    <cellStyle name="Normal 4 2 5 5 4" xfId="5248"/>
    <cellStyle name="Normal 4 2 5 6" xfId="917"/>
    <cellStyle name="Normal 4 2 5 6 2" xfId="1828"/>
    <cellStyle name="Normal 4 2 5 6 2 2" xfId="4116"/>
    <cellStyle name="Normal 4 2 5 6 2 3" xfId="6336"/>
    <cellStyle name="Normal 4 2 5 6 3" xfId="3213"/>
    <cellStyle name="Normal 4 2 5 6 4" xfId="5433"/>
    <cellStyle name="Normal 4 2 5 7" xfId="2093"/>
    <cellStyle name="Normal 4 2 5 7 2" xfId="4378"/>
    <cellStyle name="Normal 4 2 5 7 3" xfId="6598"/>
    <cellStyle name="Normal 4 2 5 8" xfId="1082"/>
    <cellStyle name="Normal 4 2 5 8 2" xfId="3374"/>
    <cellStyle name="Normal 4 2 5 8 3" xfId="5594"/>
    <cellStyle name="Normal 4 2 5 9" xfId="2471"/>
    <cellStyle name="Normal 4 2 6" xfId="88"/>
    <cellStyle name="Normal 4 2 6 10" xfId="4700"/>
    <cellStyle name="Normal 4 2 6 11" xfId="6947"/>
    <cellStyle name="Normal 4 2 6 12" xfId="7133"/>
    <cellStyle name="Normal 4 2 6 2" xfId="170"/>
    <cellStyle name="Normal 4 2 6 2 10" xfId="6948"/>
    <cellStyle name="Normal 4 2 6 2 11" xfId="7134"/>
    <cellStyle name="Normal 4 2 6 2 2" xfId="340"/>
    <cellStyle name="Normal 4 2 6 2 2 2" xfId="2329"/>
    <cellStyle name="Normal 4 2 6 2 2 2 2" xfId="4536"/>
    <cellStyle name="Normal 4 2 6 2 2 2 3" xfId="6756"/>
    <cellStyle name="Normal 4 2 6 2 2 3" xfId="1271"/>
    <cellStyle name="Normal 4 2 6 2 2 3 2" xfId="3559"/>
    <cellStyle name="Normal 4 2 6 2 2 3 3" xfId="5779"/>
    <cellStyle name="Normal 4 2 6 2 2 4" xfId="2656"/>
    <cellStyle name="Normal 4 2 6 2 2 5" xfId="4876"/>
    <cellStyle name="Normal 4 2 6 2 3" xfId="545"/>
    <cellStyle name="Normal 4 2 6 2 3 2" xfId="1458"/>
    <cellStyle name="Normal 4 2 6 2 3 2 2" xfId="3746"/>
    <cellStyle name="Normal 4 2 6 2 3 2 3" xfId="5966"/>
    <cellStyle name="Normal 4 2 6 2 3 3" xfId="2843"/>
    <cellStyle name="Normal 4 2 6 2 3 4" xfId="5063"/>
    <cellStyle name="Normal 4 2 6 2 4" xfId="735"/>
    <cellStyle name="Normal 4 2 6 2 4 2" xfId="1646"/>
    <cellStyle name="Normal 4 2 6 2 4 2 2" xfId="3934"/>
    <cellStyle name="Normal 4 2 6 2 4 2 3" xfId="6154"/>
    <cellStyle name="Normal 4 2 6 2 4 3" xfId="3031"/>
    <cellStyle name="Normal 4 2 6 2 4 4" xfId="5251"/>
    <cellStyle name="Normal 4 2 6 2 5" xfId="920"/>
    <cellStyle name="Normal 4 2 6 2 5 2" xfId="1831"/>
    <cellStyle name="Normal 4 2 6 2 5 2 2" xfId="4119"/>
    <cellStyle name="Normal 4 2 6 2 5 2 3" xfId="6339"/>
    <cellStyle name="Normal 4 2 6 2 5 3" xfId="3216"/>
    <cellStyle name="Normal 4 2 6 2 5 4" xfId="5436"/>
    <cellStyle name="Normal 4 2 6 2 6" xfId="2096"/>
    <cellStyle name="Normal 4 2 6 2 6 2" xfId="4381"/>
    <cellStyle name="Normal 4 2 6 2 6 3" xfId="6601"/>
    <cellStyle name="Normal 4 2 6 2 7" xfId="1174"/>
    <cellStyle name="Normal 4 2 6 2 7 2" xfId="3465"/>
    <cellStyle name="Normal 4 2 6 2 7 3" xfId="5685"/>
    <cellStyle name="Normal 4 2 6 2 8" xfId="2562"/>
    <cellStyle name="Normal 4 2 6 2 9" xfId="4781"/>
    <cellStyle name="Normal 4 2 6 3" xfId="339"/>
    <cellStyle name="Normal 4 2 6 3 2" xfId="2004"/>
    <cellStyle name="Normal 4 2 6 3 2 2" xfId="4289"/>
    <cellStyle name="Normal 4 2 6 3 2 3" xfId="6509"/>
    <cellStyle name="Normal 4 2 6 3 3" xfId="1270"/>
    <cellStyle name="Normal 4 2 6 3 3 2" xfId="3558"/>
    <cellStyle name="Normal 4 2 6 3 3 3" xfId="5778"/>
    <cellStyle name="Normal 4 2 6 3 4" xfId="2655"/>
    <cellStyle name="Normal 4 2 6 3 5" xfId="4875"/>
    <cellStyle name="Normal 4 2 6 4" xfId="544"/>
    <cellStyle name="Normal 4 2 6 4 2" xfId="1457"/>
    <cellStyle name="Normal 4 2 6 4 2 2" xfId="3745"/>
    <cellStyle name="Normal 4 2 6 4 2 3" xfId="5965"/>
    <cellStyle name="Normal 4 2 6 4 3" xfId="2842"/>
    <cellStyle name="Normal 4 2 6 4 4" xfId="5062"/>
    <cellStyle name="Normal 4 2 6 5" xfId="734"/>
    <cellStyle name="Normal 4 2 6 5 2" xfId="1645"/>
    <cellStyle name="Normal 4 2 6 5 2 2" xfId="3933"/>
    <cellStyle name="Normal 4 2 6 5 2 3" xfId="6153"/>
    <cellStyle name="Normal 4 2 6 5 3" xfId="3030"/>
    <cellStyle name="Normal 4 2 6 5 4" xfId="5250"/>
    <cellStyle name="Normal 4 2 6 6" xfId="919"/>
    <cellStyle name="Normal 4 2 6 6 2" xfId="1830"/>
    <cellStyle name="Normal 4 2 6 6 2 2" xfId="4118"/>
    <cellStyle name="Normal 4 2 6 6 2 3" xfId="6338"/>
    <cellStyle name="Normal 4 2 6 6 3" xfId="3215"/>
    <cellStyle name="Normal 4 2 6 6 4" xfId="5435"/>
    <cellStyle name="Normal 4 2 6 7" xfId="2095"/>
    <cellStyle name="Normal 4 2 6 7 2" xfId="4380"/>
    <cellStyle name="Normal 4 2 6 7 3" xfId="6600"/>
    <cellStyle name="Normal 4 2 6 8" xfId="1094"/>
    <cellStyle name="Normal 4 2 6 8 2" xfId="3386"/>
    <cellStyle name="Normal 4 2 6 8 3" xfId="5606"/>
    <cellStyle name="Normal 4 2 6 9" xfId="2483"/>
    <cellStyle name="Normal 4 2 7" xfId="111"/>
    <cellStyle name="Normal 4 2 7 10" xfId="6949"/>
    <cellStyle name="Normal 4 2 7 11" xfId="7135"/>
    <cellStyle name="Normal 4 2 7 2" xfId="341"/>
    <cellStyle name="Normal 4 2 7 2 2" xfId="1941"/>
    <cellStyle name="Normal 4 2 7 2 2 2" xfId="4229"/>
    <cellStyle name="Normal 4 2 7 2 2 3" xfId="6449"/>
    <cellStyle name="Normal 4 2 7 2 3" xfId="1272"/>
    <cellStyle name="Normal 4 2 7 2 3 2" xfId="3560"/>
    <cellStyle name="Normal 4 2 7 2 3 3" xfId="5780"/>
    <cellStyle name="Normal 4 2 7 2 4" xfId="2657"/>
    <cellStyle name="Normal 4 2 7 2 5" xfId="4877"/>
    <cellStyle name="Normal 4 2 7 3" xfId="546"/>
    <cellStyle name="Normal 4 2 7 3 2" xfId="1459"/>
    <cellStyle name="Normal 4 2 7 3 2 2" xfId="3747"/>
    <cellStyle name="Normal 4 2 7 3 2 3" xfId="5967"/>
    <cellStyle name="Normal 4 2 7 3 3" xfId="2844"/>
    <cellStyle name="Normal 4 2 7 3 4" xfId="5064"/>
    <cellStyle name="Normal 4 2 7 4" xfId="736"/>
    <cellStyle name="Normal 4 2 7 4 2" xfId="1647"/>
    <cellStyle name="Normal 4 2 7 4 2 2" xfId="3935"/>
    <cellStyle name="Normal 4 2 7 4 2 3" xfId="6155"/>
    <cellStyle name="Normal 4 2 7 4 3" xfId="3032"/>
    <cellStyle name="Normal 4 2 7 4 4" xfId="5252"/>
    <cellStyle name="Normal 4 2 7 5" xfId="921"/>
    <cellStyle name="Normal 4 2 7 5 2" xfId="1832"/>
    <cellStyle name="Normal 4 2 7 5 2 2" xfId="4120"/>
    <cellStyle name="Normal 4 2 7 5 2 3" xfId="6340"/>
    <cellStyle name="Normal 4 2 7 5 3" xfId="3217"/>
    <cellStyle name="Normal 4 2 7 5 4" xfId="5437"/>
    <cellStyle name="Normal 4 2 7 6" xfId="2097"/>
    <cellStyle name="Normal 4 2 7 6 2" xfId="4382"/>
    <cellStyle name="Normal 4 2 7 6 3" xfId="6602"/>
    <cellStyle name="Normal 4 2 7 7" xfId="1115"/>
    <cellStyle name="Normal 4 2 7 7 2" xfId="3406"/>
    <cellStyle name="Normal 4 2 7 7 3" xfId="5626"/>
    <cellStyle name="Normal 4 2 7 8" xfId="2503"/>
    <cellStyle name="Normal 4 2 7 9" xfId="4722"/>
    <cellStyle name="Normal 4 2 8" xfId="328"/>
    <cellStyle name="Normal 4 2 8 2" xfId="1985"/>
    <cellStyle name="Normal 4 2 8 2 2" xfId="4271"/>
    <cellStyle name="Normal 4 2 8 2 3" xfId="6491"/>
    <cellStyle name="Normal 4 2 8 3" xfId="2243"/>
    <cellStyle name="Normal 4 2 8 4" xfId="1259"/>
    <cellStyle name="Normal 4 2 8 4 2" xfId="3547"/>
    <cellStyle name="Normal 4 2 8 4 3" xfId="5767"/>
    <cellStyle name="Normal 4 2 8 5" xfId="2644"/>
    <cellStyle name="Normal 4 2 8 6" xfId="4864"/>
    <cellStyle name="Normal 4 2 9" xfId="533"/>
    <cellStyle name="Normal 4 2 9 2" xfId="2364"/>
    <cellStyle name="Normal 4 2 9 2 2" xfId="4568"/>
    <cellStyle name="Normal 4 2 9 2 3" xfId="6788"/>
    <cellStyle name="Normal 4 2 9 3" xfId="1446"/>
    <cellStyle name="Normal 4 2 9 3 2" xfId="3734"/>
    <cellStyle name="Normal 4 2 9 3 3" xfId="5954"/>
    <cellStyle name="Normal 4 2 9 4" xfId="2831"/>
    <cellStyle name="Normal 4 2 9 5" xfId="5051"/>
    <cellStyle name="Normal 4 20" xfId="7121"/>
    <cellStyle name="Normal 4 3" xfId="16"/>
    <cellStyle name="Normal 4 3 10" xfId="2419"/>
    <cellStyle name="Normal 4 3 11" xfId="4635"/>
    <cellStyle name="Normal 4 3 12" xfId="6950"/>
    <cellStyle name="Normal 4 3 13" xfId="7136"/>
    <cellStyle name="Normal 4 3 2" xfId="106"/>
    <cellStyle name="Normal 4 3 2 10" xfId="4717"/>
    <cellStyle name="Normal 4 3 2 11" xfId="6951"/>
    <cellStyle name="Normal 4 3 2 12" xfId="7137"/>
    <cellStyle name="Normal 4 3 2 2" xfId="344"/>
    <cellStyle name="Normal 4 3 2 2 10" xfId="7138"/>
    <cellStyle name="Normal 4 3 2 2 2" xfId="549"/>
    <cellStyle name="Normal 4 3 2 2 2 2" xfId="1462"/>
    <cellStyle name="Normal 4 3 2 2 2 2 2" xfId="3750"/>
    <cellStyle name="Normal 4 3 2 2 2 2 3" xfId="5970"/>
    <cellStyle name="Normal 4 3 2 2 2 3" xfId="2847"/>
    <cellStyle name="Normal 4 3 2 2 2 4" xfId="5067"/>
    <cellStyle name="Normal 4 3 2 2 3" xfId="739"/>
    <cellStyle name="Normal 4 3 2 2 3 2" xfId="1650"/>
    <cellStyle name="Normal 4 3 2 2 3 2 2" xfId="3938"/>
    <cellStyle name="Normal 4 3 2 2 3 2 3" xfId="6158"/>
    <cellStyle name="Normal 4 3 2 2 3 3" xfId="3035"/>
    <cellStyle name="Normal 4 3 2 2 3 4" xfId="5255"/>
    <cellStyle name="Normal 4 3 2 2 4" xfId="924"/>
    <cellStyle name="Normal 4 3 2 2 4 2" xfId="1835"/>
    <cellStyle name="Normal 4 3 2 2 4 2 2" xfId="4123"/>
    <cellStyle name="Normal 4 3 2 2 4 2 3" xfId="6343"/>
    <cellStyle name="Normal 4 3 2 2 4 3" xfId="3220"/>
    <cellStyle name="Normal 4 3 2 2 4 4" xfId="5440"/>
    <cellStyle name="Normal 4 3 2 2 5" xfId="2100"/>
    <cellStyle name="Normal 4 3 2 2 5 2" xfId="4385"/>
    <cellStyle name="Normal 4 3 2 2 5 3" xfId="6605"/>
    <cellStyle name="Normal 4 3 2 2 6" xfId="1275"/>
    <cellStyle name="Normal 4 3 2 2 6 2" xfId="3563"/>
    <cellStyle name="Normal 4 3 2 2 6 3" xfId="5783"/>
    <cellStyle name="Normal 4 3 2 2 7" xfId="2660"/>
    <cellStyle name="Normal 4 3 2 2 8" xfId="4880"/>
    <cellStyle name="Normal 4 3 2 2 9" xfId="6952"/>
    <cellStyle name="Normal 4 3 2 3" xfId="343"/>
    <cellStyle name="Normal 4 3 2 3 2" xfId="1274"/>
    <cellStyle name="Normal 4 3 2 3 2 2" xfId="3562"/>
    <cellStyle name="Normal 4 3 2 3 2 3" xfId="5782"/>
    <cellStyle name="Normal 4 3 2 3 3" xfId="2659"/>
    <cellStyle name="Normal 4 3 2 3 4" xfId="4879"/>
    <cellStyle name="Normal 4 3 2 4" xfId="548"/>
    <cellStyle name="Normal 4 3 2 4 2" xfId="1461"/>
    <cellStyle name="Normal 4 3 2 4 2 2" xfId="3749"/>
    <cellStyle name="Normal 4 3 2 4 2 3" xfId="5969"/>
    <cellStyle name="Normal 4 3 2 4 3" xfId="2846"/>
    <cellStyle name="Normal 4 3 2 4 4" xfId="5066"/>
    <cellStyle name="Normal 4 3 2 5" xfId="738"/>
    <cellStyle name="Normal 4 3 2 5 2" xfId="1649"/>
    <cellStyle name="Normal 4 3 2 5 2 2" xfId="3937"/>
    <cellStyle name="Normal 4 3 2 5 2 3" xfId="6157"/>
    <cellStyle name="Normal 4 3 2 5 3" xfId="3034"/>
    <cellStyle name="Normal 4 3 2 5 4" xfId="5254"/>
    <cellStyle name="Normal 4 3 2 6" xfId="923"/>
    <cellStyle name="Normal 4 3 2 6 2" xfId="1834"/>
    <cellStyle name="Normal 4 3 2 6 2 2" xfId="4122"/>
    <cellStyle name="Normal 4 3 2 6 2 3" xfId="6342"/>
    <cellStyle name="Normal 4 3 2 6 3" xfId="3219"/>
    <cellStyle name="Normal 4 3 2 6 4" xfId="5439"/>
    <cellStyle name="Normal 4 3 2 7" xfId="2099"/>
    <cellStyle name="Normal 4 3 2 7 2" xfId="4384"/>
    <cellStyle name="Normal 4 3 2 7 3" xfId="6604"/>
    <cellStyle name="Normal 4 3 2 8" xfId="1110"/>
    <cellStyle name="Normal 4 3 2 8 2" xfId="3401"/>
    <cellStyle name="Normal 4 3 2 8 3" xfId="5621"/>
    <cellStyle name="Normal 4 3 2 9" xfId="2498"/>
    <cellStyle name="Normal 4 3 3" xfId="345"/>
    <cellStyle name="Normal 4 3 3 10" xfId="6953"/>
    <cellStyle name="Normal 4 3 3 11" xfId="7139"/>
    <cellStyle name="Normal 4 3 3 2" xfId="550"/>
    <cellStyle name="Normal 4 3 3 2 2" xfId="1463"/>
    <cellStyle name="Normal 4 3 3 2 2 2" xfId="3751"/>
    <cellStyle name="Normal 4 3 3 2 2 3" xfId="5971"/>
    <cellStyle name="Normal 4 3 3 2 3" xfId="2848"/>
    <cellStyle name="Normal 4 3 3 2 4" xfId="5068"/>
    <cellStyle name="Normal 4 3 3 3" xfId="740"/>
    <cellStyle name="Normal 4 3 3 3 2" xfId="1651"/>
    <cellStyle name="Normal 4 3 3 3 2 2" xfId="3939"/>
    <cellStyle name="Normal 4 3 3 3 2 3" xfId="6159"/>
    <cellStyle name="Normal 4 3 3 3 3" xfId="3036"/>
    <cellStyle name="Normal 4 3 3 3 4" xfId="5256"/>
    <cellStyle name="Normal 4 3 3 4" xfId="925"/>
    <cellStyle name="Normal 4 3 3 4 2" xfId="1836"/>
    <cellStyle name="Normal 4 3 3 4 2 2" xfId="4124"/>
    <cellStyle name="Normal 4 3 3 4 2 3" xfId="6344"/>
    <cellStyle name="Normal 4 3 3 4 3" xfId="3221"/>
    <cellStyle name="Normal 4 3 3 4 4" xfId="5441"/>
    <cellStyle name="Normal 4 3 3 5" xfId="2101"/>
    <cellStyle name="Normal 4 3 3 5 2" xfId="4386"/>
    <cellStyle name="Normal 4 3 3 5 3" xfId="6606"/>
    <cellStyle name="Normal 4 3 3 6" xfId="2244"/>
    <cellStyle name="Normal 4 3 3 7" xfId="1276"/>
    <cellStyle name="Normal 4 3 3 7 2" xfId="3564"/>
    <cellStyle name="Normal 4 3 3 7 3" xfId="5784"/>
    <cellStyle name="Normal 4 3 3 8" xfId="2661"/>
    <cellStyle name="Normal 4 3 3 9" xfId="4881"/>
    <cellStyle name="Normal 4 3 4" xfId="342"/>
    <cellStyle name="Normal 4 3 4 2" xfId="2330"/>
    <cellStyle name="Normal 4 3 4 2 2" xfId="4537"/>
    <cellStyle name="Normal 4 3 4 2 3" xfId="6757"/>
    <cellStyle name="Normal 4 3 4 3" xfId="1273"/>
    <cellStyle name="Normal 4 3 4 3 2" xfId="3561"/>
    <cellStyle name="Normal 4 3 4 3 3" xfId="5781"/>
    <cellStyle name="Normal 4 3 4 4" xfId="2658"/>
    <cellStyle name="Normal 4 3 4 5" xfId="4878"/>
    <cellStyle name="Normal 4 3 5" xfId="547"/>
    <cellStyle name="Normal 4 3 5 2" xfId="1460"/>
    <cellStyle name="Normal 4 3 5 2 2" xfId="3748"/>
    <cellStyle name="Normal 4 3 5 2 3" xfId="5968"/>
    <cellStyle name="Normal 4 3 5 3" xfId="2845"/>
    <cellStyle name="Normal 4 3 5 4" xfId="5065"/>
    <cellStyle name="Normal 4 3 6" xfId="737"/>
    <cellStyle name="Normal 4 3 6 2" xfId="1648"/>
    <cellStyle name="Normal 4 3 6 2 2" xfId="3936"/>
    <cellStyle name="Normal 4 3 6 2 3" xfId="6156"/>
    <cellStyle name="Normal 4 3 6 3" xfId="3033"/>
    <cellStyle name="Normal 4 3 6 4" xfId="5253"/>
    <cellStyle name="Normal 4 3 7" xfId="922"/>
    <cellStyle name="Normal 4 3 7 2" xfId="1833"/>
    <cellStyle name="Normal 4 3 7 2 2" xfId="4121"/>
    <cellStyle name="Normal 4 3 7 2 3" xfId="6341"/>
    <cellStyle name="Normal 4 3 7 3" xfId="3218"/>
    <cellStyle name="Normal 4 3 7 4" xfId="5438"/>
    <cellStyle name="Normal 4 3 8" xfId="2098"/>
    <cellStyle name="Normal 4 3 8 2" xfId="4383"/>
    <cellStyle name="Normal 4 3 8 3" xfId="6603"/>
    <cellStyle name="Normal 4 3 9" xfId="1029"/>
    <cellStyle name="Normal 4 3 9 2" xfId="3322"/>
    <cellStyle name="Normal 4 3 9 3" xfId="5542"/>
    <cellStyle name="Normal 4 4" xfId="29"/>
    <cellStyle name="Normal 4 4 10" xfId="2428"/>
    <cellStyle name="Normal 4 4 11" xfId="4645"/>
    <cellStyle name="Normal 4 4 12" xfId="6954"/>
    <cellStyle name="Normal 4 4 13" xfId="7140"/>
    <cellStyle name="Normal 4 4 2" xfId="115"/>
    <cellStyle name="Normal 4 4 2 10" xfId="4726"/>
    <cellStyle name="Normal 4 4 2 11" xfId="6955"/>
    <cellStyle name="Normal 4 4 2 12" xfId="7141"/>
    <cellStyle name="Normal 4 4 2 2" xfId="348"/>
    <cellStyle name="Normal 4 4 2 2 10" xfId="7142"/>
    <cellStyle name="Normal 4 4 2 2 2" xfId="553"/>
    <cellStyle name="Normal 4 4 2 2 2 2" xfId="1466"/>
    <cellStyle name="Normal 4 4 2 2 2 2 2" xfId="3754"/>
    <cellStyle name="Normal 4 4 2 2 2 2 3" xfId="5974"/>
    <cellStyle name="Normal 4 4 2 2 2 3" xfId="2851"/>
    <cellStyle name="Normal 4 4 2 2 2 4" xfId="5071"/>
    <cellStyle name="Normal 4 4 2 2 3" xfId="743"/>
    <cellStyle name="Normal 4 4 2 2 3 2" xfId="1654"/>
    <cellStyle name="Normal 4 4 2 2 3 2 2" xfId="3942"/>
    <cellStyle name="Normal 4 4 2 2 3 2 3" xfId="6162"/>
    <cellStyle name="Normal 4 4 2 2 3 3" xfId="3039"/>
    <cellStyle name="Normal 4 4 2 2 3 4" xfId="5259"/>
    <cellStyle name="Normal 4 4 2 2 4" xfId="928"/>
    <cellStyle name="Normal 4 4 2 2 4 2" xfId="1839"/>
    <cellStyle name="Normal 4 4 2 2 4 2 2" xfId="4127"/>
    <cellStyle name="Normal 4 4 2 2 4 2 3" xfId="6347"/>
    <cellStyle name="Normal 4 4 2 2 4 3" xfId="3224"/>
    <cellStyle name="Normal 4 4 2 2 4 4" xfId="5444"/>
    <cellStyle name="Normal 4 4 2 2 5" xfId="2104"/>
    <cellStyle name="Normal 4 4 2 2 5 2" xfId="4389"/>
    <cellStyle name="Normal 4 4 2 2 5 3" xfId="6609"/>
    <cellStyle name="Normal 4 4 2 2 6" xfId="1279"/>
    <cellStyle name="Normal 4 4 2 2 6 2" xfId="3567"/>
    <cellStyle name="Normal 4 4 2 2 6 3" xfId="5787"/>
    <cellStyle name="Normal 4 4 2 2 7" xfId="2664"/>
    <cellStyle name="Normal 4 4 2 2 8" xfId="4884"/>
    <cellStyle name="Normal 4 4 2 2 9" xfId="6956"/>
    <cellStyle name="Normal 4 4 2 3" xfId="347"/>
    <cellStyle name="Normal 4 4 2 3 2" xfId="1278"/>
    <cellStyle name="Normal 4 4 2 3 2 2" xfId="3566"/>
    <cellStyle name="Normal 4 4 2 3 2 3" xfId="5786"/>
    <cellStyle name="Normal 4 4 2 3 3" xfId="2663"/>
    <cellStyle name="Normal 4 4 2 3 4" xfId="4883"/>
    <cellStyle name="Normal 4 4 2 4" xfId="552"/>
    <cellStyle name="Normal 4 4 2 4 2" xfId="1465"/>
    <cellStyle name="Normal 4 4 2 4 2 2" xfId="3753"/>
    <cellStyle name="Normal 4 4 2 4 2 3" xfId="5973"/>
    <cellStyle name="Normal 4 4 2 4 3" xfId="2850"/>
    <cellStyle name="Normal 4 4 2 4 4" xfId="5070"/>
    <cellStyle name="Normal 4 4 2 5" xfId="742"/>
    <cellStyle name="Normal 4 4 2 5 2" xfId="1653"/>
    <cellStyle name="Normal 4 4 2 5 2 2" xfId="3941"/>
    <cellStyle name="Normal 4 4 2 5 2 3" xfId="6161"/>
    <cellStyle name="Normal 4 4 2 5 3" xfId="3038"/>
    <cellStyle name="Normal 4 4 2 5 4" xfId="5258"/>
    <cellStyle name="Normal 4 4 2 6" xfId="927"/>
    <cellStyle name="Normal 4 4 2 6 2" xfId="1838"/>
    <cellStyle name="Normal 4 4 2 6 2 2" xfId="4126"/>
    <cellStyle name="Normal 4 4 2 6 2 3" xfId="6346"/>
    <cellStyle name="Normal 4 4 2 6 3" xfId="3223"/>
    <cellStyle name="Normal 4 4 2 6 4" xfId="5443"/>
    <cellStyle name="Normal 4 4 2 7" xfId="2103"/>
    <cellStyle name="Normal 4 4 2 7 2" xfId="4388"/>
    <cellStyle name="Normal 4 4 2 7 3" xfId="6608"/>
    <cellStyle name="Normal 4 4 2 8" xfId="1119"/>
    <cellStyle name="Normal 4 4 2 8 2" xfId="3410"/>
    <cellStyle name="Normal 4 4 2 8 3" xfId="5630"/>
    <cellStyle name="Normal 4 4 2 9" xfId="2507"/>
    <cellStyle name="Normal 4 4 3" xfId="349"/>
    <cellStyle name="Normal 4 4 3 10" xfId="7143"/>
    <cellStyle name="Normal 4 4 3 2" xfId="554"/>
    <cellStyle name="Normal 4 4 3 2 2" xfId="1467"/>
    <cellStyle name="Normal 4 4 3 2 2 2" xfId="3755"/>
    <cellStyle name="Normal 4 4 3 2 2 3" xfId="5975"/>
    <cellStyle name="Normal 4 4 3 2 3" xfId="2852"/>
    <cellStyle name="Normal 4 4 3 2 4" xfId="5072"/>
    <cellStyle name="Normal 4 4 3 3" xfId="744"/>
    <cellStyle name="Normal 4 4 3 3 2" xfId="1655"/>
    <cellStyle name="Normal 4 4 3 3 2 2" xfId="3943"/>
    <cellStyle name="Normal 4 4 3 3 2 3" xfId="6163"/>
    <cellStyle name="Normal 4 4 3 3 3" xfId="3040"/>
    <cellStyle name="Normal 4 4 3 3 4" xfId="5260"/>
    <cellStyle name="Normal 4 4 3 4" xfId="929"/>
    <cellStyle name="Normal 4 4 3 4 2" xfId="1840"/>
    <cellStyle name="Normal 4 4 3 4 2 2" xfId="4128"/>
    <cellStyle name="Normal 4 4 3 4 2 3" xfId="6348"/>
    <cellStyle name="Normal 4 4 3 4 3" xfId="3225"/>
    <cellStyle name="Normal 4 4 3 4 4" xfId="5445"/>
    <cellStyle name="Normal 4 4 3 5" xfId="2105"/>
    <cellStyle name="Normal 4 4 3 5 2" xfId="4390"/>
    <cellStyle name="Normal 4 4 3 5 3" xfId="6610"/>
    <cellStyle name="Normal 4 4 3 6" xfId="1280"/>
    <cellStyle name="Normal 4 4 3 6 2" xfId="3568"/>
    <cellStyle name="Normal 4 4 3 6 3" xfId="5788"/>
    <cellStyle name="Normal 4 4 3 7" xfId="2665"/>
    <cellStyle name="Normal 4 4 3 8" xfId="4885"/>
    <cellStyle name="Normal 4 4 3 9" xfId="6957"/>
    <cellStyle name="Normal 4 4 4" xfId="346"/>
    <cellStyle name="Normal 4 4 4 2" xfId="1277"/>
    <cellStyle name="Normal 4 4 4 2 2" xfId="3565"/>
    <cellStyle name="Normal 4 4 4 2 3" xfId="5785"/>
    <cellStyle name="Normal 4 4 4 3" xfId="2662"/>
    <cellStyle name="Normal 4 4 4 4" xfId="4882"/>
    <cellStyle name="Normal 4 4 5" xfId="551"/>
    <cellStyle name="Normal 4 4 5 2" xfId="1464"/>
    <cellStyle name="Normal 4 4 5 2 2" xfId="3752"/>
    <cellStyle name="Normal 4 4 5 2 3" xfId="5972"/>
    <cellStyle name="Normal 4 4 5 3" xfId="2849"/>
    <cellStyle name="Normal 4 4 5 4" xfId="5069"/>
    <cellStyle name="Normal 4 4 6" xfId="741"/>
    <cellStyle name="Normal 4 4 6 2" xfId="1652"/>
    <cellStyle name="Normal 4 4 6 2 2" xfId="3940"/>
    <cellStyle name="Normal 4 4 6 2 3" xfId="6160"/>
    <cellStyle name="Normal 4 4 6 3" xfId="3037"/>
    <cellStyle name="Normal 4 4 6 4" xfId="5257"/>
    <cellStyle name="Normal 4 4 7" xfId="926"/>
    <cellStyle name="Normal 4 4 7 2" xfId="1837"/>
    <cellStyle name="Normal 4 4 7 2 2" xfId="4125"/>
    <cellStyle name="Normal 4 4 7 2 3" xfId="6345"/>
    <cellStyle name="Normal 4 4 7 3" xfId="3222"/>
    <cellStyle name="Normal 4 4 7 4" xfId="5442"/>
    <cellStyle name="Normal 4 4 8" xfId="2102"/>
    <cellStyle name="Normal 4 4 8 2" xfId="4387"/>
    <cellStyle name="Normal 4 4 8 3" xfId="6607"/>
    <cellStyle name="Normal 4 4 9" xfId="1038"/>
    <cellStyle name="Normal 4 4 9 2" xfId="3331"/>
    <cellStyle name="Normal 4 4 9 3" xfId="5551"/>
    <cellStyle name="Normal 4 5" xfId="45"/>
    <cellStyle name="Normal 4 5 10" xfId="4657"/>
    <cellStyle name="Normal 4 5 11" xfId="6958"/>
    <cellStyle name="Normal 4 5 12" xfId="7144"/>
    <cellStyle name="Normal 4 5 2" xfId="127"/>
    <cellStyle name="Normal 4 5 2 10" xfId="6959"/>
    <cellStyle name="Normal 4 5 2 11" xfId="7145"/>
    <cellStyle name="Normal 4 5 2 2" xfId="351"/>
    <cellStyle name="Normal 4 5 2 2 2" xfId="2331"/>
    <cellStyle name="Normal 4 5 2 2 2 2" xfId="4538"/>
    <cellStyle name="Normal 4 5 2 2 2 3" xfId="6758"/>
    <cellStyle name="Normal 4 5 2 2 3" xfId="1282"/>
    <cellStyle name="Normal 4 5 2 2 3 2" xfId="3570"/>
    <cellStyle name="Normal 4 5 2 2 3 3" xfId="5790"/>
    <cellStyle name="Normal 4 5 2 2 4" xfId="2667"/>
    <cellStyle name="Normal 4 5 2 2 5" xfId="4887"/>
    <cellStyle name="Normal 4 5 2 3" xfId="556"/>
    <cellStyle name="Normal 4 5 2 3 2" xfId="1469"/>
    <cellStyle name="Normal 4 5 2 3 2 2" xfId="3757"/>
    <cellStyle name="Normal 4 5 2 3 2 3" xfId="5977"/>
    <cellStyle name="Normal 4 5 2 3 3" xfId="2854"/>
    <cellStyle name="Normal 4 5 2 3 4" xfId="5074"/>
    <cellStyle name="Normal 4 5 2 4" xfId="746"/>
    <cellStyle name="Normal 4 5 2 4 2" xfId="1657"/>
    <cellStyle name="Normal 4 5 2 4 2 2" xfId="3945"/>
    <cellStyle name="Normal 4 5 2 4 2 3" xfId="6165"/>
    <cellStyle name="Normal 4 5 2 4 3" xfId="3042"/>
    <cellStyle name="Normal 4 5 2 4 4" xfId="5262"/>
    <cellStyle name="Normal 4 5 2 5" xfId="931"/>
    <cellStyle name="Normal 4 5 2 5 2" xfId="1842"/>
    <cellStyle name="Normal 4 5 2 5 2 2" xfId="4130"/>
    <cellStyle name="Normal 4 5 2 5 2 3" xfId="6350"/>
    <cellStyle name="Normal 4 5 2 5 3" xfId="3227"/>
    <cellStyle name="Normal 4 5 2 5 4" xfId="5447"/>
    <cellStyle name="Normal 4 5 2 6" xfId="2107"/>
    <cellStyle name="Normal 4 5 2 6 2" xfId="4392"/>
    <cellStyle name="Normal 4 5 2 6 3" xfId="6612"/>
    <cellStyle name="Normal 4 5 2 7" xfId="1131"/>
    <cellStyle name="Normal 4 5 2 7 2" xfId="3422"/>
    <cellStyle name="Normal 4 5 2 7 3" xfId="5642"/>
    <cellStyle name="Normal 4 5 2 8" xfId="2519"/>
    <cellStyle name="Normal 4 5 2 9" xfId="4738"/>
    <cellStyle name="Normal 4 5 3" xfId="350"/>
    <cellStyle name="Normal 4 5 3 2" xfId="1944"/>
    <cellStyle name="Normal 4 5 3 2 2" xfId="4231"/>
    <cellStyle name="Normal 4 5 3 2 3" xfId="6451"/>
    <cellStyle name="Normal 4 5 3 3" xfId="1281"/>
    <cellStyle name="Normal 4 5 3 3 2" xfId="3569"/>
    <cellStyle name="Normal 4 5 3 3 3" xfId="5789"/>
    <cellStyle name="Normal 4 5 3 4" xfId="2666"/>
    <cellStyle name="Normal 4 5 3 5" xfId="4886"/>
    <cellStyle name="Normal 4 5 4" xfId="555"/>
    <cellStyle name="Normal 4 5 4 2" xfId="1468"/>
    <cellStyle name="Normal 4 5 4 2 2" xfId="3756"/>
    <cellStyle name="Normal 4 5 4 2 3" xfId="5976"/>
    <cellStyle name="Normal 4 5 4 3" xfId="2853"/>
    <cellStyle name="Normal 4 5 4 4" xfId="5073"/>
    <cellStyle name="Normal 4 5 5" xfId="745"/>
    <cellStyle name="Normal 4 5 5 2" xfId="1656"/>
    <cellStyle name="Normal 4 5 5 2 2" xfId="3944"/>
    <cellStyle name="Normal 4 5 5 2 3" xfId="6164"/>
    <cellStyle name="Normal 4 5 5 3" xfId="3041"/>
    <cellStyle name="Normal 4 5 5 4" xfId="5261"/>
    <cellStyle name="Normal 4 5 6" xfId="930"/>
    <cellStyle name="Normal 4 5 6 2" xfId="1841"/>
    <cellStyle name="Normal 4 5 6 2 2" xfId="4129"/>
    <cellStyle name="Normal 4 5 6 2 3" xfId="6349"/>
    <cellStyle name="Normal 4 5 6 3" xfId="3226"/>
    <cellStyle name="Normal 4 5 6 4" xfId="5446"/>
    <cellStyle name="Normal 4 5 7" xfId="2106"/>
    <cellStyle name="Normal 4 5 7 2" xfId="4391"/>
    <cellStyle name="Normal 4 5 7 3" xfId="6611"/>
    <cellStyle name="Normal 4 5 8" xfId="1051"/>
    <cellStyle name="Normal 4 5 8 2" xfId="3343"/>
    <cellStyle name="Normal 4 5 8 3" xfId="5563"/>
    <cellStyle name="Normal 4 5 9" xfId="2440"/>
    <cellStyle name="Normal 4 6" xfId="57"/>
    <cellStyle name="Normal 4 6 10" xfId="4669"/>
    <cellStyle name="Normal 4 6 11" xfId="6960"/>
    <cellStyle name="Normal 4 6 12" xfId="7146"/>
    <cellStyle name="Normal 4 6 2" xfId="139"/>
    <cellStyle name="Normal 4 6 2 10" xfId="6961"/>
    <cellStyle name="Normal 4 6 2 11" xfId="7147"/>
    <cellStyle name="Normal 4 6 2 2" xfId="353"/>
    <cellStyle name="Normal 4 6 2 2 2" xfId="2332"/>
    <cellStyle name="Normal 4 6 2 2 2 2" xfId="4539"/>
    <cellStyle name="Normal 4 6 2 2 2 3" xfId="6759"/>
    <cellStyle name="Normal 4 6 2 2 3" xfId="1284"/>
    <cellStyle name="Normal 4 6 2 2 3 2" xfId="3572"/>
    <cellStyle name="Normal 4 6 2 2 3 3" xfId="5792"/>
    <cellStyle name="Normal 4 6 2 2 4" xfId="2669"/>
    <cellStyle name="Normal 4 6 2 2 5" xfId="4889"/>
    <cellStyle name="Normal 4 6 2 3" xfId="558"/>
    <cellStyle name="Normal 4 6 2 3 2" xfId="1471"/>
    <cellStyle name="Normal 4 6 2 3 2 2" xfId="3759"/>
    <cellStyle name="Normal 4 6 2 3 2 3" xfId="5979"/>
    <cellStyle name="Normal 4 6 2 3 3" xfId="2856"/>
    <cellStyle name="Normal 4 6 2 3 4" xfId="5076"/>
    <cellStyle name="Normal 4 6 2 4" xfId="748"/>
    <cellStyle name="Normal 4 6 2 4 2" xfId="1659"/>
    <cellStyle name="Normal 4 6 2 4 2 2" xfId="3947"/>
    <cellStyle name="Normal 4 6 2 4 2 3" xfId="6167"/>
    <cellStyle name="Normal 4 6 2 4 3" xfId="3044"/>
    <cellStyle name="Normal 4 6 2 4 4" xfId="5264"/>
    <cellStyle name="Normal 4 6 2 5" xfId="933"/>
    <cellStyle name="Normal 4 6 2 5 2" xfId="1844"/>
    <cellStyle name="Normal 4 6 2 5 2 2" xfId="4132"/>
    <cellStyle name="Normal 4 6 2 5 2 3" xfId="6352"/>
    <cellStyle name="Normal 4 6 2 5 3" xfId="3229"/>
    <cellStyle name="Normal 4 6 2 5 4" xfId="5449"/>
    <cellStyle name="Normal 4 6 2 6" xfId="2109"/>
    <cellStyle name="Normal 4 6 2 6 2" xfId="4394"/>
    <cellStyle name="Normal 4 6 2 6 3" xfId="6614"/>
    <cellStyle name="Normal 4 6 2 7" xfId="1143"/>
    <cellStyle name="Normal 4 6 2 7 2" xfId="3434"/>
    <cellStyle name="Normal 4 6 2 7 3" xfId="5654"/>
    <cellStyle name="Normal 4 6 2 8" xfId="2531"/>
    <cellStyle name="Normal 4 6 2 9" xfId="4750"/>
    <cellStyle name="Normal 4 6 3" xfId="352"/>
    <cellStyle name="Normal 4 6 3 2" xfId="2000"/>
    <cellStyle name="Normal 4 6 3 2 2" xfId="4285"/>
    <cellStyle name="Normal 4 6 3 2 3" xfId="6505"/>
    <cellStyle name="Normal 4 6 3 3" xfId="1283"/>
    <cellStyle name="Normal 4 6 3 3 2" xfId="3571"/>
    <cellStyle name="Normal 4 6 3 3 3" xfId="5791"/>
    <cellStyle name="Normal 4 6 3 4" xfId="2668"/>
    <cellStyle name="Normal 4 6 3 5" xfId="4888"/>
    <cellStyle name="Normal 4 6 4" xfId="557"/>
    <cellStyle name="Normal 4 6 4 2" xfId="1470"/>
    <cellStyle name="Normal 4 6 4 2 2" xfId="3758"/>
    <cellStyle name="Normal 4 6 4 2 3" xfId="5978"/>
    <cellStyle name="Normal 4 6 4 3" xfId="2855"/>
    <cellStyle name="Normal 4 6 4 4" xfId="5075"/>
    <cellStyle name="Normal 4 6 5" xfId="747"/>
    <cellStyle name="Normal 4 6 5 2" xfId="1658"/>
    <cellStyle name="Normal 4 6 5 2 2" xfId="3946"/>
    <cellStyle name="Normal 4 6 5 2 3" xfId="6166"/>
    <cellStyle name="Normal 4 6 5 3" xfId="3043"/>
    <cellStyle name="Normal 4 6 5 4" xfId="5263"/>
    <cellStyle name="Normal 4 6 6" xfId="932"/>
    <cellStyle name="Normal 4 6 6 2" xfId="1843"/>
    <cellStyle name="Normal 4 6 6 2 2" xfId="4131"/>
    <cellStyle name="Normal 4 6 6 2 3" xfId="6351"/>
    <cellStyle name="Normal 4 6 6 3" xfId="3228"/>
    <cellStyle name="Normal 4 6 6 4" xfId="5448"/>
    <cellStyle name="Normal 4 6 7" xfId="2108"/>
    <cellStyle name="Normal 4 6 7 2" xfId="4393"/>
    <cellStyle name="Normal 4 6 7 3" xfId="6613"/>
    <cellStyle name="Normal 4 6 8" xfId="1063"/>
    <cellStyle name="Normal 4 6 8 2" xfId="3355"/>
    <cellStyle name="Normal 4 6 8 3" xfId="5575"/>
    <cellStyle name="Normal 4 6 9" xfId="2452"/>
    <cellStyle name="Normal 4 7" xfId="69"/>
    <cellStyle name="Normal 4 7 10" xfId="4681"/>
    <cellStyle name="Normal 4 7 11" xfId="6962"/>
    <cellStyle name="Normal 4 7 12" xfId="7148"/>
    <cellStyle name="Normal 4 7 2" xfId="151"/>
    <cellStyle name="Normal 4 7 2 10" xfId="6963"/>
    <cellStyle name="Normal 4 7 2 11" xfId="7149"/>
    <cellStyle name="Normal 4 7 2 2" xfId="355"/>
    <cellStyle name="Normal 4 7 2 2 2" xfId="2333"/>
    <cellStyle name="Normal 4 7 2 2 2 2" xfId="4540"/>
    <cellStyle name="Normal 4 7 2 2 2 3" xfId="6760"/>
    <cellStyle name="Normal 4 7 2 2 3" xfId="1286"/>
    <cellStyle name="Normal 4 7 2 2 3 2" xfId="3574"/>
    <cellStyle name="Normal 4 7 2 2 3 3" xfId="5794"/>
    <cellStyle name="Normal 4 7 2 2 4" xfId="2671"/>
    <cellStyle name="Normal 4 7 2 2 5" xfId="4891"/>
    <cellStyle name="Normal 4 7 2 3" xfId="560"/>
    <cellStyle name="Normal 4 7 2 3 2" xfId="1473"/>
    <cellStyle name="Normal 4 7 2 3 2 2" xfId="3761"/>
    <cellStyle name="Normal 4 7 2 3 2 3" xfId="5981"/>
    <cellStyle name="Normal 4 7 2 3 3" xfId="2858"/>
    <cellStyle name="Normal 4 7 2 3 4" xfId="5078"/>
    <cellStyle name="Normal 4 7 2 4" xfId="750"/>
    <cellStyle name="Normal 4 7 2 4 2" xfId="1661"/>
    <cellStyle name="Normal 4 7 2 4 2 2" xfId="3949"/>
    <cellStyle name="Normal 4 7 2 4 2 3" xfId="6169"/>
    <cellStyle name="Normal 4 7 2 4 3" xfId="3046"/>
    <cellStyle name="Normal 4 7 2 4 4" xfId="5266"/>
    <cellStyle name="Normal 4 7 2 5" xfId="935"/>
    <cellStyle name="Normal 4 7 2 5 2" xfId="1846"/>
    <cellStyle name="Normal 4 7 2 5 2 2" xfId="4134"/>
    <cellStyle name="Normal 4 7 2 5 2 3" xfId="6354"/>
    <cellStyle name="Normal 4 7 2 5 3" xfId="3231"/>
    <cellStyle name="Normal 4 7 2 5 4" xfId="5451"/>
    <cellStyle name="Normal 4 7 2 6" xfId="2111"/>
    <cellStyle name="Normal 4 7 2 6 2" xfId="4396"/>
    <cellStyle name="Normal 4 7 2 6 3" xfId="6616"/>
    <cellStyle name="Normal 4 7 2 7" xfId="1155"/>
    <cellStyle name="Normal 4 7 2 7 2" xfId="3446"/>
    <cellStyle name="Normal 4 7 2 7 3" xfId="5666"/>
    <cellStyle name="Normal 4 7 2 8" xfId="2543"/>
    <cellStyle name="Normal 4 7 2 9" xfId="4762"/>
    <cellStyle name="Normal 4 7 3" xfId="354"/>
    <cellStyle name="Normal 4 7 3 2" xfId="1974"/>
    <cellStyle name="Normal 4 7 3 2 2" xfId="4260"/>
    <cellStyle name="Normal 4 7 3 2 3" xfId="6480"/>
    <cellStyle name="Normal 4 7 3 3" xfId="1285"/>
    <cellStyle name="Normal 4 7 3 3 2" xfId="3573"/>
    <cellStyle name="Normal 4 7 3 3 3" xfId="5793"/>
    <cellStyle name="Normal 4 7 3 4" xfId="2670"/>
    <cellStyle name="Normal 4 7 3 5" xfId="4890"/>
    <cellStyle name="Normal 4 7 4" xfId="559"/>
    <cellStyle name="Normal 4 7 4 2" xfId="1472"/>
    <cellStyle name="Normal 4 7 4 2 2" xfId="3760"/>
    <cellStyle name="Normal 4 7 4 2 3" xfId="5980"/>
    <cellStyle name="Normal 4 7 4 3" xfId="2857"/>
    <cellStyle name="Normal 4 7 4 4" xfId="5077"/>
    <cellStyle name="Normal 4 7 5" xfId="749"/>
    <cellStyle name="Normal 4 7 5 2" xfId="1660"/>
    <cellStyle name="Normal 4 7 5 2 2" xfId="3948"/>
    <cellStyle name="Normal 4 7 5 2 3" xfId="6168"/>
    <cellStyle name="Normal 4 7 5 3" xfId="3045"/>
    <cellStyle name="Normal 4 7 5 4" xfId="5265"/>
    <cellStyle name="Normal 4 7 6" xfId="934"/>
    <cellStyle name="Normal 4 7 6 2" xfId="1845"/>
    <cellStyle name="Normal 4 7 6 2 2" xfId="4133"/>
    <cellStyle name="Normal 4 7 6 2 3" xfId="6353"/>
    <cellStyle name="Normal 4 7 6 3" xfId="3230"/>
    <cellStyle name="Normal 4 7 6 4" xfId="5450"/>
    <cellStyle name="Normal 4 7 7" xfId="2110"/>
    <cellStyle name="Normal 4 7 7 2" xfId="4395"/>
    <cellStyle name="Normal 4 7 7 3" xfId="6615"/>
    <cellStyle name="Normal 4 7 8" xfId="1075"/>
    <cellStyle name="Normal 4 7 8 2" xfId="3367"/>
    <cellStyle name="Normal 4 7 8 3" xfId="5587"/>
    <cellStyle name="Normal 4 7 9" xfId="2464"/>
    <cellStyle name="Normal 4 8" xfId="81"/>
    <cellStyle name="Normal 4 8 10" xfId="4693"/>
    <cellStyle name="Normal 4 8 11" xfId="6964"/>
    <cellStyle name="Normal 4 8 12" xfId="7150"/>
    <cellStyle name="Normal 4 8 2" xfId="163"/>
    <cellStyle name="Normal 4 8 2 10" xfId="6965"/>
    <cellStyle name="Normal 4 8 2 11" xfId="7151"/>
    <cellStyle name="Normal 4 8 2 2" xfId="357"/>
    <cellStyle name="Normal 4 8 2 2 2" xfId="2334"/>
    <cellStyle name="Normal 4 8 2 2 2 2" xfId="4541"/>
    <cellStyle name="Normal 4 8 2 2 2 3" xfId="6761"/>
    <cellStyle name="Normal 4 8 2 2 3" xfId="1288"/>
    <cellStyle name="Normal 4 8 2 2 3 2" xfId="3576"/>
    <cellStyle name="Normal 4 8 2 2 3 3" xfId="5796"/>
    <cellStyle name="Normal 4 8 2 2 4" xfId="2673"/>
    <cellStyle name="Normal 4 8 2 2 5" xfId="4893"/>
    <cellStyle name="Normal 4 8 2 3" xfId="562"/>
    <cellStyle name="Normal 4 8 2 3 2" xfId="1475"/>
    <cellStyle name="Normal 4 8 2 3 2 2" xfId="3763"/>
    <cellStyle name="Normal 4 8 2 3 2 3" xfId="5983"/>
    <cellStyle name="Normal 4 8 2 3 3" xfId="2860"/>
    <cellStyle name="Normal 4 8 2 3 4" xfId="5080"/>
    <cellStyle name="Normal 4 8 2 4" xfId="752"/>
    <cellStyle name="Normal 4 8 2 4 2" xfId="1663"/>
    <cellStyle name="Normal 4 8 2 4 2 2" xfId="3951"/>
    <cellStyle name="Normal 4 8 2 4 2 3" xfId="6171"/>
    <cellStyle name="Normal 4 8 2 4 3" xfId="3048"/>
    <cellStyle name="Normal 4 8 2 4 4" xfId="5268"/>
    <cellStyle name="Normal 4 8 2 5" xfId="937"/>
    <cellStyle name="Normal 4 8 2 5 2" xfId="1848"/>
    <cellStyle name="Normal 4 8 2 5 2 2" xfId="4136"/>
    <cellStyle name="Normal 4 8 2 5 2 3" xfId="6356"/>
    <cellStyle name="Normal 4 8 2 5 3" xfId="3233"/>
    <cellStyle name="Normal 4 8 2 5 4" xfId="5453"/>
    <cellStyle name="Normal 4 8 2 6" xfId="2113"/>
    <cellStyle name="Normal 4 8 2 6 2" xfId="4398"/>
    <cellStyle name="Normal 4 8 2 6 3" xfId="6618"/>
    <cellStyle name="Normal 4 8 2 7" xfId="1167"/>
    <cellStyle name="Normal 4 8 2 7 2" xfId="3458"/>
    <cellStyle name="Normal 4 8 2 7 3" xfId="5678"/>
    <cellStyle name="Normal 4 8 2 8" xfId="2555"/>
    <cellStyle name="Normal 4 8 2 9" xfId="4774"/>
    <cellStyle name="Normal 4 8 3" xfId="356"/>
    <cellStyle name="Normal 4 8 3 2" xfId="1936"/>
    <cellStyle name="Normal 4 8 3 2 2" xfId="4224"/>
    <cellStyle name="Normal 4 8 3 2 3" xfId="6444"/>
    <cellStyle name="Normal 4 8 3 3" xfId="1287"/>
    <cellStyle name="Normal 4 8 3 3 2" xfId="3575"/>
    <cellStyle name="Normal 4 8 3 3 3" xfId="5795"/>
    <cellStyle name="Normal 4 8 3 4" xfId="2672"/>
    <cellStyle name="Normal 4 8 3 5" xfId="4892"/>
    <cellStyle name="Normal 4 8 4" xfId="561"/>
    <cellStyle name="Normal 4 8 4 2" xfId="1474"/>
    <cellStyle name="Normal 4 8 4 2 2" xfId="3762"/>
    <cellStyle name="Normal 4 8 4 2 3" xfId="5982"/>
    <cellStyle name="Normal 4 8 4 3" xfId="2859"/>
    <cellStyle name="Normal 4 8 4 4" xfId="5079"/>
    <cellStyle name="Normal 4 8 5" xfId="751"/>
    <cellStyle name="Normal 4 8 5 2" xfId="1662"/>
    <cellStyle name="Normal 4 8 5 2 2" xfId="3950"/>
    <cellStyle name="Normal 4 8 5 2 3" xfId="6170"/>
    <cellStyle name="Normal 4 8 5 3" xfId="3047"/>
    <cellStyle name="Normal 4 8 5 4" xfId="5267"/>
    <cellStyle name="Normal 4 8 6" xfId="936"/>
    <cellStyle name="Normal 4 8 6 2" xfId="1847"/>
    <cellStyle name="Normal 4 8 6 2 2" xfId="4135"/>
    <cellStyle name="Normal 4 8 6 2 3" xfId="6355"/>
    <cellStyle name="Normal 4 8 6 3" xfId="3232"/>
    <cellStyle name="Normal 4 8 6 4" xfId="5452"/>
    <cellStyle name="Normal 4 8 7" xfId="2112"/>
    <cellStyle name="Normal 4 8 7 2" xfId="4397"/>
    <cellStyle name="Normal 4 8 7 3" xfId="6617"/>
    <cellStyle name="Normal 4 8 8" xfId="1087"/>
    <cellStyle name="Normal 4 8 8 2" xfId="3379"/>
    <cellStyle name="Normal 4 8 8 3" xfId="5599"/>
    <cellStyle name="Normal 4 8 9" xfId="2476"/>
    <cellStyle name="Normal 4 9" xfId="99"/>
    <cellStyle name="Normal 4 9 10" xfId="6966"/>
    <cellStyle name="Normal 4 9 11" xfId="7152"/>
    <cellStyle name="Normal 4 9 2" xfId="358"/>
    <cellStyle name="Normal 4 9 2 2" xfId="1939"/>
    <cellStyle name="Normal 4 9 2 2 2" xfId="4227"/>
    <cellStyle name="Normal 4 9 2 2 3" xfId="6447"/>
    <cellStyle name="Normal 4 9 2 3" xfId="1289"/>
    <cellStyle name="Normal 4 9 2 3 2" xfId="3577"/>
    <cellStyle name="Normal 4 9 2 3 3" xfId="5797"/>
    <cellStyle name="Normal 4 9 2 4" xfId="2674"/>
    <cellStyle name="Normal 4 9 2 5" xfId="4894"/>
    <cellStyle name="Normal 4 9 3" xfId="563"/>
    <cellStyle name="Normal 4 9 3 2" xfId="1476"/>
    <cellStyle name="Normal 4 9 3 2 2" xfId="3764"/>
    <cellStyle name="Normal 4 9 3 2 3" xfId="5984"/>
    <cellStyle name="Normal 4 9 3 3" xfId="2861"/>
    <cellStyle name="Normal 4 9 3 4" xfId="5081"/>
    <cellStyle name="Normal 4 9 4" xfId="753"/>
    <cellStyle name="Normal 4 9 4 2" xfId="1664"/>
    <cellStyle name="Normal 4 9 4 2 2" xfId="3952"/>
    <cellStyle name="Normal 4 9 4 2 3" xfId="6172"/>
    <cellStyle name="Normal 4 9 4 3" xfId="3049"/>
    <cellStyle name="Normal 4 9 4 4" xfId="5269"/>
    <cellStyle name="Normal 4 9 5" xfId="938"/>
    <cellStyle name="Normal 4 9 5 2" xfId="1849"/>
    <cellStyle name="Normal 4 9 5 2 2" xfId="4137"/>
    <cellStyle name="Normal 4 9 5 2 3" xfId="6357"/>
    <cellStyle name="Normal 4 9 5 3" xfId="3234"/>
    <cellStyle name="Normal 4 9 5 4" xfId="5454"/>
    <cellStyle name="Normal 4 9 6" xfId="2114"/>
    <cellStyle name="Normal 4 9 6 2" xfId="4399"/>
    <cellStyle name="Normal 4 9 6 3" xfId="6619"/>
    <cellStyle name="Normal 4 9 7" xfId="1103"/>
    <cellStyle name="Normal 4 9 7 2" xfId="3394"/>
    <cellStyle name="Normal 4 9 7 3" xfId="5614"/>
    <cellStyle name="Normal 4 9 8" xfId="2491"/>
    <cellStyle name="Normal 4 9 9" xfId="4710"/>
    <cellStyle name="Normal 5" xfId="9"/>
    <cellStyle name="Normal 5 10" xfId="2115"/>
    <cellStyle name="Normal 5 10 2" xfId="4400"/>
    <cellStyle name="Normal 5 10 3" xfId="6620"/>
    <cellStyle name="Normal 5 11" xfId="1024"/>
    <cellStyle name="Normal 5 11 2" xfId="3318"/>
    <cellStyle name="Normal 5 11 3" xfId="5538"/>
    <cellStyle name="Normal 5 12" xfId="2415"/>
    <cellStyle name="Normal 5 13" xfId="4631"/>
    <cellStyle name="Normal 5 14" xfId="6967"/>
    <cellStyle name="Normal 5 15" xfId="7153"/>
    <cellStyle name="Normal 5 2" xfId="27"/>
    <cellStyle name="Normal 5 3" xfId="20"/>
    <cellStyle name="Normal 5 3 2" xfId="2245"/>
    <cellStyle name="Normal 5 3 2 2" xfId="2280"/>
    <cellStyle name="Normal 5 3 2 2 2" xfId="4501"/>
    <cellStyle name="Normal 5 3 2 2 3" xfId="6720"/>
    <cellStyle name="Normal 5 3 2 3" xfId="4486"/>
    <cellStyle name="Normal 5 3 2 4" xfId="6705"/>
    <cellStyle name="Normal 5 4" xfId="102"/>
    <cellStyle name="Normal 5 4 10" xfId="4713"/>
    <cellStyle name="Normal 5 4 11" xfId="6968"/>
    <cellStyle name="Normal 5 4 12" xfId="7154"/>
    <cellStyle name="Normal 5 4 2" xfId="361"/>
    <cellStyle name="Normal 5 4 2 10" xfId="7155"/>
    <cellStyle name="Normal 5 4 2 2" xfId="566"/>
    <cellStyle name="Normal 5 4 2 2 2" xfId="1479"/>
    <cellStyle name="Normal 5 4 2 2 2 2" xfId="3767"/>
    <cellStyle name="Normal 5 4 2 2 2 3" xfId="5987"/>
    <cellStyle name="Normal 5 4 2 2 3" xfId="2864"/>
    <cellStyle name="Normal 5 4 2 2 4" xfId="5084"/>
    <cellStyle name="Normal 5 4 2 3" xfId="756"/>
    <cellStyle name="Normal 5 4 2 3 2" xfId="1667"/>
    <cellStyle name="Normal 5 4 2 3 2 2" xfId="3955"/>
    <cellStyle name="Normal 5 4 2 3 2 3" xfId="6175"/>
    <cellStyle name="Normal 5 4 2 3 3" xfId="3052"/>
    <cellStyle name="Normal 5 4 2 3 4" xfId="5272"/>
    <cellStyle name="Normal 5 4 2 4" xfId="941"/>
    <cellStyle name="Normal 5 4 2 4 2" xfId="1852"/>
    <cellStyle name="Normal 5 4 2 4 2 2" xfId="4140"/>
    <cellStyle name="Normal 5 4 2 4 2 3" xfId="6360"/>
    <cellStyle name="Normal 5 4 2 4 3" xfId="3237"/>
    <cellStyle name="Normal 5 4 2 4 4" xfId="5457"/>
    <cellStyle name="Normal 5 4 2 5" xfId="2117"/>
    <cellStyle name="Normal 5 4 2 5 2" xfId="4402"/>
    <cellStyle name="Normal 5 4 2 5 3" xfId="6622"/>
    <cellStyle name="Normal 5 4 2 6" xfId="1292"/>
    <cellStyle name="Normal 5 4 2 6 2" xfId="3580"/>
    <cellStyle name="Normal 5 4 2 6 3" xfId="5800"/>
    <cellStyle name="Normal 5 4 2 7" xfId="2677"/>
    <cellStyle name="Normal 5 4 2 8" xfId="4897"/>
    <cellStyle name="Normal 5 4 2 9" xfId="6969"/>
    <cellStyle name="Normal 5 4 3" xfId="360"/>
    <cellStyle name="Normal 5 4 3 2" xfId="1291"/>
    <cellStyle name="Normal 5 4 3 2 2" xfId="3579"/>
    <cellStyle name="Normal 5 4 3 2 3" xfId="5799"/>
    <cellStyle name="Normal 5 4 3 3" xfId="2676"/>
    <cellStyle name="Normal 5 4 3 4" xfId="4896"/>
    <cellStyle name="Normal 5 4 4" xfId="565"/>
    <cellStyle name="Normal 5 4 4 2" xfId="1478"/>
    <cellStyle name="Normal 5 4 4 2 2" xfId="3766"/>
    <cellStyle name="Normal 5 4 4 2 3" xfId="5986"/>
    <cellStyle name="Normal 5 4 4 3" xfId="2863"/>
    <cellStyle name="Normal 5 4 4 4" xfId="5083"/>
    <cellStyle name="Normal 5 4 5" xfId="755"/>
    <cellStyle name="Normal 5 4 5 2" xfId="1666"/>
    <cellStyle name="Normal 5 4 5 2 2" xfId="3954"/>
    <cellStyle name="Normal 5 4 5 2 3" xfId="6174"/>
    <cellStyle name="Normal 5 4 5 3" xfId="3051"/>
    <cellStyle name="Normal 5 4 5 4" xfId="5271"/>
    <cellStyle name="Normal 5 4 6" xfId="940"/>
    <cellStyle name="Normal 5 4 6 2" xfId="1851"/>
    <cellStyle name="Normal 5 4 6 2 2" xfId="4139"/>
    <cellStyle name="Normal 5 4 6 2 3" xfId="6359"/>
    <cellStyle name="Normal 5 4 6 3" xfId="3236"/>
    <cellStyle name="Normal 5 4 6 4" xfId="5456"/>
    <cellStyle name="Normal 5 4 7" xfId="2116"/>
    <cellStyle name="Normal 5 4 7 2" xfId="4401"/>
    <cellStyle name="Normal 5 4 7 3" xfId="6621"/>
    <cellStyle name="Normal 5 4 8" xfId="1106"/>
    <cellStyle name="Normal 5 4 8 2" xfId="3397"/>
    <cellStyle name="Normal 5 4 8 3" xfId="5617"/>
    <cellStyle name="Normal 5 4 9" xfId="2494"/>
    <cellStyle name="Normal 5 5" xfId="362"/>
    <cellStyle name="Normal 5 5 10" xfId="7156"/>
    <cellStyle name="Normal 5 5 2" xfId="567"/>
    <cellStyle name="Normal 5 5 2 2" xfId="1480"/>
    <cellStyle name="Normal 5 5 2 2 2" xfId="3768"/>
    <cellStyle name="Normal 5 5 2 2 3" xfId="5988"/>
    <cellStyle name="Normal 5 5 2 3" xfId="2865"/>
    <cellStyle name="Normal 5 5 2 4" xfId="5085"/>
    <cellStyle name="Normal 5 5 3" xfId="757"/>
    <cellStyle name="Normal 5 5 3 2" xfId="1668"/>
    <cellStyle name="Normal 5 5 3 2 2" xfId="3956"/>
    <cellStyle name="Normal 5 5 3 2 3" xfId="6176"/>
    <cellStyle name="Normal 5 5 3 3" xfId="3053"/>
    <cellStyle name="Normal 5 5 3 4" xfId="5273"/>
    <cellStyle name="Normal 5 5 4" xfId="942"/>
    <cellStyle name="Normal 5 5 4 2" xfId="1853"/>
    <cellStyle name="Normal 5 5 4 2 2" xfId="4141"/>
    <cellStyle name="Normal 5 5 4 2 3" xfId="6361"/>
    <cellStyle name="Normal 5 5 4 3" xfId="3238"/>
    <cellStyle name="Normal 5 5 4 4" xfId="5458"/>
    <cellStyle name="Normal 5 5 5" xfId="2118"/>
    <cellStyle name="Normal 5 5 5 2" xfId="4403"/>
    <cellStyle name="Normal 5 5 5 3" xfId="6623"/>
    <cellStyle name="Normal 5 5 6" xfId="1293"/>
    <cellStyle name="Normal 5 5 6 2" xfId="3581"/>
    <cellStyle name="Normal 5 5 6 3" xfId="5801"/>
    <cellStyle name="Normal 5 5 7" xfId="2678"/>
    <cellStyle name="Normal 5 5 8" xfId="4898"/>
    <cellStyle name="Normal 5 5 9" xfId="6970"/>
    <cellStyle name="Normal 5 6" xfId="359"/>
    <cellStyle name="Normal 5 6 2" xfId="1290"/>
    <cellStyle name="Normal 5 6 2 2" xfId="3578"/>
    <cellStyle name="Normal 5 6 2 3" xfId="5798"/>
    <cellStyle name="Normal 5 6 3" xfId="2675"/>
    <cellStyle name="Normal 5 6 4" xfId="4895"/>
    <cellStyle name="Normal 5 7" xfId="564"/>
    <cellStyle name="Normal 5 7 2" xfId="1477"/>
    <cellStyle name="Normal 5 7 2 2" xfId="3765"/>
    <cellStyle name="Normal 5 7 2 3" xfId="5985"/>
    <cellStyle name="Normal 5 7 3" xfId="2862"/>
    <cellStyle name="Normal 5 7 4" xfId="5082"/>
    <cellStyle name="Normal 5 8" xfId="754"/>
    <cellStyle name="Normal 5 8 2" xfId="1665"/>
    <cellStyle name="Normal 5 8 2 2" xfId="3953"/>
    <cellStyle name="Normal 5 8 2 3" xfId="6173"/>
    <cellStyle name="Normal 5 8 3" xfId="3050"/>
    <cellStyle name="Normal 5 8 4" xfId="5270"/>
    <cellStyle name="Normal 5 9" xfId="939"/>
    <cellStyle name="Normal 5 9 2" xfId="1850"/>
    <cellStyle name="Normal 5 9 2 2" xfId="4138"/>
    <cellStyle name="Normal 5 9 2 3" xfId="6358"/>
    <cellStyle name="Normal 5 9 3" xfId="3235"/>
    <cellStyle name="Normal 5 9 4" xfId="5455"/>
    <cellStyle name="Normal 6" xfId="17"/>
    <cellStyle name="Normal 6 10" xfId="758"/>
    <cellStyle name="Normal 6 10 2" xfId="1669"/>
    <cellStyle name="Normal 6 10 2 2" xfId="3957"/>
    <cellStyle name="Normal 6 10 2 3" xfId="6177"/>
    <cellStyle name="Normal 6 10 3" xfId="3054"/>
    <cellStyle name="Normal 6 10 4" xfId="5274"/>
    <cellStyle name="Normal 6 11" xfId="943"/>
    <cellStyle name="Normal 6 11 2" xfId="1854"/>
    <cellStyle name="Normal 6 11 2 2" xfId="4142"/>
    <cellStyle name="Normal 6 11 2 3" xfId="6362"/>
    <cellStyle name="Normal 6 11 3" xfId="3239"/>
    <cellStyle name="Normal 6 11 4" xfId="5459"/>
    <cellStyle name="Normal 6 12" xfId="2119"/>
    <cellStyle name="Normal 6 12 2" xfId="4404"/>
    <cellStyle name="Normal 6 12 3" xfId="6624"/>
    <cellStyle name="Normal 6 13" xfId="1030"/>
    <cellStyle name="Normal 6 13 2" xfId="3323"/>
    <cellStyle name="Normal 6 13 3" xfId="5543"/>
    <cellStyle name="Normal 6 14" xfId="2420"/>
    <cellStyle name="Normal 6 15" xfId="4636"/>
    <cellStyle name="Normal 6 16" xfId="6971"/>
    <cellStyle name="Normal 6 17" xfId="7157"/>
    <cellStyle name="Normal 6 2" xfId="32"/>
    <cellStyle name="Normal 6 2 10" xfId="2431"/>
    <cellStyle name="Normal 6 2 11" xfId="4648"/>
    <cellStyle name="Normal 6 2 12" xfId="6972"/>
    <cellStyle name="Normal 6 2 13" xfId="7158"/>
    <cellStyle name="Normal 6 2 2" xfId="118"/>
    <cellStyle name="Normal 6 2 2 10" xfId="4729"/>
    <cellStyle name="Normal 6 2 2 11" xfId="6973"/>
    <cellStyle name="Normal 6 2 2 12" xfId="7159"/>
    <cellStyle name="Normal 6 2 2 2" xfId="366"/>
    <cellStyle name="Normal 6 2 2 2 10" xfId="7160"/>
    <cellStyle name="Normal 6 2 2 2 2" xfId="571"/>
    <cellStyle name="Normal 6 2 2 2 2 2" xfId="1484"/>
    <cellStyle name="Normal 6 2 2 2 2 2 2" xfId="3772"/>
    <cellStyle name="Normal 6 2 2 2 2 2 3" xfId="5992"/>
    <cellStyle name="Normal 6 2 2 2 2 3" xfId="2869"/>
    <cellStyle name="Normal 6 2 2 2 2 4" xfId="5089"/>
    <cellStyle name="Normal 6 2 2 2 3" xfId="761"/>
    <cellStyle name="Normal 6 2 2 2 3 2" xfId="1672"/>
    <cellStyle name="Normal 6 2 2 2 3 2 2" xfId="3960"/>
    <cellStyle name="Normal 6 2 2 2 3 2 3" xfId="6180"/>
    <cellStyle name="Normal 6 2 2 2 3 3" xfId="3057"/>
    <cellStyle name="Normal 6 2 2 2 3 4" xfId="5277"/>
    <cellStyle name="Normal 6 2 2 2 4" xfId="946"/>
    <cellStyle name="Normal 6 2 2 2 4 2" xfId="1857"/>
    <cellStyle name="Normal 6 2 2 2 4 2 2" xfId="4145"/>
    <cellStyle name="Normal 6 2 2 2 4 2 3" xfId="6365"/>
    <cellStyle name="Normal 6 2 2 2 4 3" xfId="3242"/>
    <cellStyle name="Normal 6 2 2 2 4 4" xfId="5462"/>
    <cellStyle name="Normal 6 2 2 2 5" xfId="2122"/>
    <cellStyle name="Normal 6 2 2 2 5 2" xfId="4407"/>
    <cellStyle name="Normal 6 2 2 2 5 3" xfId="6627"/>
    <cellStyle name="Normal 6 2 2 2 6" xfId="1297"/>
    <cellStyle name="Normal 6 2 2 2 6 2" xfId="3585"/>
    <cellStyle name="Normal 6 2 2 2 6 3" xfId="5805"/>
    <cellStyle name="Normal 6 2 2 2 7" xfId="2682"/>
    <cellStyle name="Normal 6 2 2 2 8" xfId="4902"/>
    <cellStyle name="Normal 6 2 2 2 9" xfId="6974"/>
    <cellStyle name="Normal 6 2 2 3" xfId="365"/>
    <cellStyle name="Normal 6 2 2 3 2" xfId="1296"/>
    <cellStyle name="Normal 6 2 2 3 2 2" xfId="3584"/>
    <cellStyle name="Normal 6 2 2 3 2 3" xfId="5804"/>
    <cellStyle name="Normal 6 2 2 3 3" xfId="2681"/>
    <cellStyle name="Normal 6 2 2 3 4" xfId="4901"/>
    <cellStyle name="Normal 6 2 2 4" xfId="570"/>
    <cellStyle name="Normal 6 2 2 4 2" xfId="1483"/>
    <cellStyle name="Normal 6 2 2 4 2 2" xfId="3771"/>
    <cellStyle name="Normal 6 2 2 4 2 3" xfId="5991"/>
    <cellStyle name="Normal 6 2 2 4 3" xfId="2868"/>
    <cellStyle name="Normal 6 2 2 4 4" xfId="5088"/>
    <cellStyle name="Normal 6 2 2 5" xfId="760"/>
    <cellStyle name="Normal 6 2 2 5 2" xfId="1671"/>
    <cellStyle name="Normal 6 2 2 5 2 2" xfId="3959"/>
    <cellStyle name="Normal 6 2 2 5 2 3" xfId="6179"/>
    <cellStyle name="Normal 6 2 2 5 3" xfId="3056"/>
    <cellStyle name="Normal 6 2 2 5 4" xfId="5276"/>
    <cellStyle name="Normal 6 2 2 6" xfId="945"/>
    <cellStyle name="Normal 6 2 2 6 2" xfId="1856"/>
    <cellStyle name="Normal 6 2 2 6 2 2" xfId="4144"/>
    <cellStyle name="Normal 6 2 2 6 2 3" xfId="6364"/>
    <cellStyle name="Normal 6 2 2 6 3" xfId="3241"/>
    <cellStyle name="Normal 6 2 2 6 4" xfId="5461"/>
    <cellStyle name="Normal 6 2 2 7" xfId="2121"/>
    <cellStyle name="Normal 6 2 2 7 2" xfId="4406"/>
    <cellStyle name="Normal 6 2 2 7 3" xfId="6626"/>
    <cellStyle name="Normal 6 2 2 8" xfId="1122"/>
    <cellStyle name="Normal 6 2 2 8 2" xfId="3413"/>
    <cellStyle name="Normal 6 2 2 8 3" xfId="5633"/>
    <cellStyle name="Normal 6 2 2 9" xfId="2510"/>
    <cellStyle name="Normal 6 2 3" xfId="367"/>
    <cellStyle name="Normal 6 2 3 10" xfId="6975"/>
    <cellStyle name="Normal 6 2 3 11" xfId="7161"/>
    <cellStyle name="Normal 6 2 3 2" xfId="572"/>
    <cellStyle name="Normal 6 2 3 2 2" xfId="1485"/>
    <cellStyle name="Normal 6 2 3 2 2 2" xfId="3773"/>
    <cellStyle name="Normal 6 2 3 2 2 3" xfId="5993"/>
    <cellStyle name="Normal 6 2 3 2 3" xfId="2870"/>
    <cellStyle name="Normal 6 2 3 2 4" xfId="5090"/>
    <cellStyle name="Normal 6 2 3 3" xfId="762"/>
    <cellStyle name="Normal 6 2 3 3 2" xfId="1673"/>
    <cellStyle name="Normal 6 2 3 3 2 2" xfId="3961"/>
    <cellStyle name="Normal 6 2 3 3 2 3" xfId="6181"/>
    <cellStyle name="Normal 6 2 3 3 3" xfId="3058"/>
    <cellStyle name="Normal 6 2 3 3 4" xfId="5278"/>
    <cellStyle name="Normal 6 2 3 4" xfId="947"/>
    <cellStyle name="Normal 6 2 3 4 2" xfId="1858"/>
    <cellStyle name="Normal 6 2 3 4 2 2" xfId="4146"/>
    <cellStyle name="Normal 6 2 3 4 2 3" xfId="6366"/>
    <cellStyle name="Normal 6 2 3 4 3" xfId="3243"/>
    <cellStyle name="Normal 6 2 3 4 4" xfId="5463"/>
    <cellStyle name="Normal 6 2 3 5" xfId="2123"/>
    <cellStyle name="Normal 6 2 3 5 2" xfId="4408"/>
    <cellStyle name="Normal 6 2 3 5 3" xfId="6628"/>
    <cellStyle name="Normal 6 2 3 6" xfId="2246"/>
    <cellStyle name="Normal 6 2 3 7" xfId="1298"/>
    <cellStyle name="Normal 6 2 3 7 2" xfId="3586"/>
    <cellStyle name="Normal 6 2 3 7 3" xfId="5806"/>
    <cellStyle name="Normal 6 2 3 8" xfId="2683"/>
    <cellStyle name="Normal 6 2 3 9" xfId="4903"/>
    <cellStyle name="Normal 6 2 4" xfId="364"/>
    <cellStyle name="Normal 6 2 4 2" xfId="2336"/>
    <cellStyle name="Normal 6 2 4 2 2" xfId="4543"/>
    <cellStyle name="Normal 6 2 4 2 3" xfId="6763"/>
    <cellStyle name="Normal 6 2 4 3" xfId="1295"/>
    <cellStyle name="Normal 6 2 4 3 2" xfId="3583"/>
    <cellStyle name="Normal 6 2 4 3 3" xfId="5803"/>
    <cellStyle name="Normal 6 2 4 4" xfId="2680"/>
    <cellStyle name="Normal 6 2 4 5" xfId="4900"/>
    <cellStyle name="Normal 6 2 5" xfId="569"/>
    <cellStyle name="Normal 6 2 5 2" xfId="1482"/>
    <cellStyle name="Normal 6 2 5 2 2" xfId="3770"/>
    <cellStyle name="Normal 6 2 5 2 3" xfId="5990"/>
    <cellStyle name="Normal 6 2 5 3" xfId="2867"/>
    <cellStyle name="Normal 6 2 5 4" xfId="5087"/>
    <cellStyle name="Normal 6 2 6" xfId="759"/>
    <cellStyle name="Normal 6 2 6 2" xfId="1670"/>
    <cellStyle name="Normal 6 2 6 2 2" xfId="3958"/>
    <cellStyle name="Normal 6 2 6 2 3" xfId="6178"/>
    <cellStyle name="Normal 6 2 6 3" xfId="3055"/>
    <cellStyle name="Normal 6 2 6 4" xfId="5275"/>
    <cellStyle name="Normal 6 2 7" xfId="944"/>
    <cellStyle name="Normal 6 2 7 2" xfId="1855"/>
    <cellStyle name="Normal 6 2 7 2 2" xfId="4143"/>
    <cellStyle name="Normal 6 2 7 2 3" xfId="6363"/>
    <cellStyle name="Normal 6 2 7 3" xfId="3240"/>
    <cellStyle name="Normal 6 2 7 4" xfId="5460"/>
    <cellStyle name="Normal 6 2 8" xfId="2120"/>
    <cellStyle name="Normal 6 2 8 2" xfId="4405"/>
    <cellStyle name="Normal 6 2 8 3" xfId="6625"/>
    <cellStyle name="Normal 6 2 9" xfId="1041"/>
    <cellStyle name="Normal 6 2 9 2" xfId="3334"/>
    <cellStyle name="Normal 6 2 9 3" xfId="5554"/>
    <cellStyle name="Normal 6 3" xfId="48"/>
    <cellStyle name="Normal 6 3 10" xfId="4660"/>
    <cellStyle name="Normal 6 3 11" xfId="6976"/>
    <cellStyle name="Normal 6 3 12" xfId="7162"/>
    <cellStyle name="Normal 6 3 2" xfId="130"/>
    <cellStyle name="Normal 6 3 2 10" xfId="6977"/>
    <cellStyle name="Normal 6 3 2 11" xfId="7163"/>
    <cellStyle name="Normal 6 3 2 2" xfId="369"/>
    <cellStyle name="Normal 6 3 2 2 2" xfId="2337"/>
    <cellStyle name="Normal 6 3 2 2 2 2" xfId="4544"/>
    <cellStyle name="Normal 6 3 2 2 2 3" xfId="6764"/>
    <cellStyle name="Normal 6 3 2 2 3" xfId="1300"/>
    <cellStyle name="Normal 6 3 2 2 3 2" xfId="3588"/>
    <cellStyle name="Normal 6 3 2 2 3 3" xfId="5808"/>
    <cellStyle name="Normal 6 3 2 2 4" xfId="2685"/>
    <cellStyle name="Normal 6 3 2 2 5" xfId="4905"/>
    <cellStyle name="Normal 6 3 2 3" xfId="574"/>
    <cellStyle name="Normal 6 3 2 3 2" xfId="1487"/>
    <cellStyle name="Normal 6 3 2 3 2 2" xfId="3775"/>
    <cellStyle name="Normal 6 3 2 3 2 3" xfId="5995"/>
    <cellStyle name="Normal 6 3 2 3 3" xfId="2872"/>
    <cellStyle name="Normal 6 3 2 3 4" xfId="5092"/>
    <cellStyle name="Normal 6 3 2 4" xfId="764"/>
    <cellStyle name="Normal 6 3 2 4 2" xfId="1675"/>
    <cellStyle name="Normal 6 3 2 4 2 2" xfId="3963"/>
    <cellStyle name="Normal 6 3 2 4 2 3" xfId="6183"/>
    <cellStyle name="Normal 6 3 2 4 3" xfId="3060"/>
    <cellStyle name="Normal 6 3 2 4 4" xfId="5280"/>
    <cellStyle name="Normal 6 3 2 5" xfId="949"/>
    <cellStyle name="Normal 6 3 2 5 2" xfId="1860"/>
    <cellStyle name="Normal 6 3 2 5 2 2" xfId="4148"/>
    <cellStyle name="Normal 6 3 2 5 2 3" xfId="6368"/>
    <cellStyle name="Normal 6 3 2 5 3" xfId="3245"/>
    <cellStyle name="Normal 6 3 2 5 4" xfId="5465"/>
    <cellStyle name="Normal 6 3 2 6" xfId="2125"/>
    <cellStyle name="Normal 6 3 2 6 2" xfId="4410"/>
    <cellStyle name="Normal 6 3 2 6 3" xfId="6630"/>
    <cellStyle name="Normal 6 3 2 7" xfId="1134"/>
    <cellStyle name="Normal 6 3 2 7 2" xfId="3425"/>
    <cellStyle name="Normal 6 3 2 7 3" xfId="5645"/>
    <cellStyle name="Normal 6 3 2 8" xfId="2522"/>
    <cellStyle name="Normal 6 3 2 9" xfId="4741"/>
    <cellStyle name="Normal 6 3 3" xfId="368"/>
    <cellStyle name="Normal 6 3 3 2" xfId="1951"/>
    <cellStyle name="Normal 6 3 3 2 2" xfId="4238"/>
    <cellStyle name="Normal 6 3 3 2 3" xfId="6458"/>
    <cellStyle name="Normal 6 3 3 3" xfId="1299"/>
    <cellStyle name="Normal 6 3 3 3 2" xfId="3587"/>
    <cellStyle name="Normal 6 3 3 3 3" xfId="5807"/>
    <cellStyle name="Normal 6 3 3 4" xfId="2684"/>
    <cellStyle name="Normal 6 3 3 5" xfId="4904"/>
    <cellStyle name="Normal 6 3 4" xfId="573"/>
    <cellStyle name="Normal 6 3 4 2" xfId="1486"/>
    <cellStyle name="Normal 6 3 4 2 2" xfId="3774"/>
    <cellStyle name="Normal 6 3 4 2 3" xfId="5994"/>
    <cellStyle name="Normal 6 3 4 3" xfId="2871"/>
    <cellStyle name="Normal 6 3 4 4" xfId="5091"/>
    <cellStyle name="Normal 6 3 5" xfId="763"/>
    <cellStyle name="Normal 6 3 5 2" xfId="1674"/>
    <cellStyle name="Normal 6 3 5 2 2" xfId="3962"/>
    <cellStyle name="Normal 6 3 5 2 3" xfId="6182"/>
    <cellStyle name="Normal 6 3 5 3" xfId="3059"/>
    <cellStyle name="Normal 6 3 5 4" xfId="5279"/>
    <cellStyle name="Normal 6 3 6" xfId="948"/>
    <cellStyle name="Normal 6 3 6 2" xfId="1859"/>
    <cellStyle name="Normal 6 3 6 2 2" xfId="4147"/>
    <cellStyle name="Normal 6 3 6 2 3" xfId="6367"/>
    <cellStyle name="Normal 6 3 6 3" xfId="3244"/>
    <cellStyle name="Normal 6 3 6 4" xfId="5464"/>
    <cellStyle name="Normal 6 3 7" xfId="2124"/>
    <cellStyle name="Normal 6 3 7 2" xfId="4409"/>
    <cellStyle name="Normal 6 3 7 3" xfId="6629"/>
    <cellStyle name="Normal 6 3 8" xfId="1054"/>
    <cellStyle name="Normal 6 3 8 2" xfId="3346"/>
    <cellStyle name="Normal 6 3 8 3" xfId="5566"/>
    <cellStyle name="Normal 6 3 9" xfId="2443"/>
    <cellStyle name="Normal 6 4" xfId="60"/>
    <cellStyle name="Normal 6 4 10" xfId="4672"/>
    <cellStyle name="Normal 6 4 11" xfId="6978"/>
    <cellStyle name="Normal 6 4 12" xfId="7164"/>
    <cellStyle name="Normal 6 4 2" xfId="142"/>
    <cellStyle name="Normal 6 4 2 10" xfId="6979"/>
    <cellStyle name="Normal 6 4 2 11" xfId="7165"/>
    <cellStyle name="Normal 6 4 2 2" xfId="371"/>
    <cellStyle name="Normal 6 4 2 2 2" xfId="2338"/>
    <cellStyle name="Normal 6 4 2 2 2 2" xfId="4545"/>
    <cellStyle name="Normal 6 4 2 2 2 3" xfId="6765"/>
    <cellStyle name="Normal 6 4 2 2 3" xfId="1302"/>
    <cellStyle name="Normal 6 4 2 2 3 2" xfId="3590"/>
    <cellStyle name="Normal 6 4 2 2 3 3" xfId="5810"/>
    <cellStyle name="Normal 6 4 2 2 4" xfId="2687"/>
    <cellStyle name="Normal 6 4 2 2 5" xfId="4907"/>
    <cellStyle name="Normal 6 4 2 3" xfId="576"/>
    <cellStyle name="Normal 6 4 2 3 2" xfId="1489"/>
    <cellStyle name="Normal 6 4 2 3 2 2" xfId="3777"/>
    <cellStyle name="Normal 6 4 2 3 2 3" xfId="5997"/>
    <cellStyle name="Normal 6 4 2 3 3" xfId="2874"/>
    <cellStyle name="Normal 6 4 2 3 4" xfId="5094"/>
    <cellStyle name="Normal 6 4 2 4" xfId="766"/>
    <cellStyle name="Normal 6 4 2 4 2" xfId="1677"/>
    <cellStyle name="Normal 6 4 2 4 2 2" xfId="3965"/>
    <cellStyle name="Normal 6 4 2 4 2 3" xfId="6185"/>
    <cellStyle name="Normal 6 4 2 4 3" xfId="3062"/>
    <cellStyle name="Normal 6 4 2 4 4" xfId="5282"/>
    <cellStyle name="Normal 6 4 2 5" xfId="951"/>
    <cellStyle name="Normal 6 4 2 5 2" xfId="1862"/>
    <cellStyle name="Normal 6 4 2 5 2 2" xfId="4150"/>
    <cellStyle name="Normal 6 4 2 5 2 3" xfId="6370"/>
    <cellStyle name="Normal 6 4 2 5 3" xfId="3247"/>
    <cellStyle name="Normal 6 4 2 5 4" xfId="5467"/>
    <cellStyle name="Normal 6 4 2 6" xfId="2127"/>
    <cellStyle name="Normal 6 4 2 6 2" xfId="4412"/>
    <cellStyle name="Normal 6 4 2 6 3" xfId="6632"/>
    <cellStyle name="Normal 6 4 2 7" xfId="1146"/>
    <cellStyle name="Normal 6 4 2 7 2" xfId="3437"/>
    <cellStyle name="Normal 6 4 2 7 3" xfId="5657"/>
    <cellStyle name="Normal 6 4 2 8" xfId="2534"/>
    <cellStyle name="Normal 6 4 2 9" xfId="4753"/>
    <cellStyle name="Normal 6 4 3" xfId="370"/>
    <cellStyle name="Normal 6 4 3 2" xfId="1952"/>
    <cellStyle name="Normal 6 4 3 2 2" xfId="4239"/>
    <cellStyle name="Normal 6 4 3 2 3" xfId="6459"/>
    <cellStyle name="Normal 6 4 3 3" xfId="1301"/>
    <cellStyle name="Normal 6 4 3 3 2" xfId="3589"/>
    <cellStyle name="Normal 6 4 3 3 3" xfId="5809"/>
    <cellStyle name="Normal 6 4 3 4" xfId="2686"/>
    <cellStyle name="Normal 6 4 3 5" xfId="4906"/>
    <cellStyle name="Normal 6 4 4" xfId="575"/>
    <cellStyle name="Normal 6 4 4 2" xfId="1488"/>
    <cellStyle name="Normal 6 4 4 2 2" xfId="3776"/>
    <cellStyle name="Normal 6 4 4 2 3" xfId="5996"/>
    <cellStyle name="Normal 6 4 4 3" xfId="2873"/>
    <cellStyle name="Normal 6 4 4 4" xfId="5093"/>
    <cellStyle name="Normal 6 4 5" xfId="765"/>
    <cellStyle name="Normal 6 4 5 2" xfId="1676"/>
    <cellStyle name="Normal 6 4 5 2 2" xfId="3964"/>
    <cellStyle name="Normal 6 4 5 2 3" xfId="6184"/>
    <cellStyle name="Normal 6 4 5 3" xfId="3061"/>
    <cellStyle name="Normal 6 4 5 4" xfId="5281"/>
    <cellStyle name="Normal 6 4 6" xfId="950"/>
    <cellStyle name="Normal 6 4 6 2" xfId="1861"/>
    <cellStyle name="Normal 6 4 6 2 2" xfId="4149"/>
    <cellStyle name="Normal 6 4 6 2 3" xfId="6369"/>
    <cellStyle name="Normal 6 4 6 3" xfId="3246"/>
    <cellStyle name="Normal 6 4 6 4" xfId="5466"/>
    <cellStyle name="Normal 6 4 7" xfId="2126"/>
    <cellStyle name="Normal 6 4 7 2" xfId="4411"/>
    <cellStyle name="Normal 6 4 7 3" xfId="6631"/>
    <cellStyle name="Normal 6 4 8" xfId="1066"/>
    <cellStyle name="Normal 6 4 8 2" xfId="3358"/>
    <cellStyle name="Normal 6 4 8 3" xfId="5578"/>
    <cellStyle name="Normal 6 4 9" xfId="2455"/>
    <cellStyle name="Normal 6 5" xfId="72"/>
    <cellStyle name="Normal 6 5 10" xfId="4684"/>
    <cellStyle name="Normal 6 5 11" xfId="6980"/>
    <cellStyle name="Normal 6 5 12" xfId="7166"/>
    <cellStyle name="Normal 6 5 2" xfId="154"/>
    <cellStyle name="Normal 6 5 2 10" xfId="6981"/>
    <cellStyle name="Normal 6 5 2 11" xfId="7167"/>
    <cellStyle name="Normal 6 5 2 2" xfId="373"/>
    <cellStyle name="Normal 6 5 2 2 2" xfId="2339"/>
    <cellStyle name="Normal 6 5 2 2 2 2" xfId="4546"/>
    <cellStyle name="Normal 6 5 2 2 2 3" xfId="6766"/>
    <cellStyle name="Normal 6 5 2 2 3" xfId="1304"/>
    <cellStyle name="Normal 6 5 2 2 3 2" xfId="3592"/>
    <cellStyle name="Normal 6 5 2 2 3 3" xfId="5812"/>
    <cellStyle name="Normal 6 5 2 2 4" xfId="2689"/>
    <cellStyle name="Normal 6 5 2 2 5" xfId="4909"/>
    <cellStyle name="Normal 6 5 2 3" xfId="578"/>
    <cellStyle name="Normal 6 5 2 3 2" xfId="1491"/>
    <cellStyle name="Normal 6 5 2 3 2 2" xfId="3779"/>
    <cellStyle name="Normal 6 5 2 3 2 3" xfId="5999"/>
    <cellStyle name="Normal 6 5 2 3 3" xfId="2876"/>
    <cellStyle name="Normal 6 5 2 3 4" xfId="5096"/>
    <cellStyle name="Normal 6 5 2 4" xfId="768"/>
    <cellStyle name="Normal 6 5 2 4 2" xfId="1679"/>
    <cellStyle name="Normal 6 5 2 4 2 2" xfId="3967"/>
    <cellStyle name="Normal 6 5 2 4 2 3" xfId="6187"/>
    <cellStyle name="Normal 6 5 2 4 3" xfId="3064"/>
    <cellStyle name="Normal 6 5 2 4 4" xfId="5284"/>
    <cellStyle name="Normal 6 5 2 5" xfId="953"/>
    <cellStyle name="Normal 6 5 2 5 2" xfId="1864"/>
    <cellStyle name="Normal 6 5 2 5 2 2" xfId="4152"/>
    <cellStyle name="Normal 6 5 2 5 2 3" xfId="6372"/>
    <cellStyle name="Normal 6 5 2 5 3" xfId="3249"/>
    <cellStyle name="Normal 6 5 2 5 4" xfId="5469"/>
    <cellStyle name="Normal 6 5 2 6" xfId="2129"/>
    <cellStyle name="Normal 6 5 2 6 2" xfId="4414"/>
    <cellStyle name="Normal 6 5 2 6 3" xfId="6634"/>
    <cellStyle name="Normal 6 5 2 7" xfId="1158"/>
    <cellStyle name="Normal 6 5 2 7 2" xfId="3449"/>
    <cellStyle name="Normal 6 5 2 7 3" xfId="5669"/>
    <cellStyle name="Normal 6 5 2 8" xfId="2546"/>
    <cellStyle name="Normal 6 5 2 9" xfId="4765"/>
    <cellStyle name="Normal 6 5 3" xfId="372"/>
    <cellStyle name="Normal 6 5 3 2" xfId="1975"/>
    <cellStyle name="Normal 6 5 3 2 2" xfId="4261"/>
    <cellStyle name="Normal 6 5 3 2 3" xfId="6481"/>
    <cellStyle name="Normal 6 5 3 3" xfId="1303"/>
    <cellStyle name="Normal 6 5 3 3 2" xfId="3591"/>
    <cellStyle name="Normal 6 5 3 3 3" xfId="5811"/>
    <cellStyle name="Normal 6 5 3 4" xfId="2688"/>
    <cellStyle name="Normal 6 5 3 5" xfId="4908"/>
    <cellStyle name="Normal 6 5 4" xfId="577"/>
    <cellStyle name="Normal 6 5 4 2" xfId="1490"/>
    <cellStyle name="Normal 6 5 4 2 2" xfId="3778"/>
    <cellStyle name="Normal 6 5 4 2 3" xfId="5998"/>
    <cellStyle name="Normal 6 5 4 3" xfId="2875"/>
    <cellStyle name="Normal 6 5 4 4" xfId="5095"/>
    <cellStyle name="Normal 6 5 5" xfId="767"/>
    <cellStyle name="Normal 6 5 5 2" xfId="1678"/>
    <cellStyle name="Normal 6 5 5 2 2" xfId="3966"/>
    <cellStyle name="Normal 6 5 5 2 3" xfId="6186"/>
    <cellStyle name="Normal 6 5 5 3" xfId="3063"/>
    <cellStyle name="Normal 6 5 5 4" xfId="5283"/>
    <cellStyle name="Normal 6 5 6" xfId="952"/>
    <cellStyle name="Normal 6 5 6 2" xfId="1863"/>
    <cellStyle name="Normal 6 5 6 2 2" xfId="4151"/>
    <cellStyle name="Normal 6 5 6 2 3" xfId="6371"/>
    <cellStyle name="Normal 6 5 6 3" xfId="3248"/>
    <cellStyle name="Normal 6 5 6 4" xfId="5468"/>
    <cellStyle name="Normal 6 5 7" xfId="2128"/>
    <cellStyle name="Normal 6 5 7 2" xfId="4413"/>
    <cellStyle name="Normal 6 5 7 3" xfId="6633"/>
    <cellStyle name="Normal 6 5 8" xfId="1078"/>
    <cellStyle name="Normal 6 5 8 2" xfId="3370"/>
    <cellStyle name="Normal 6 5 8 3" xfId="5590"/>
    <cellStyle name="Normal 6 5 9" xfId="2467"/>
    <cellStyle name="Normal 6 6" xfId="84"/>
    <cellStyle name="Normal 6 6 10" xfId="4696"/>
    <cellStyle name="Normal 6 6 11" xfId="6982"/>
    <cellStyle name="Normal 6 6 12" xfId="7168"/>
    <cellStyle name="Normal 6 6 2" xfId="166"/>
    <cellStyle name="Normal 6 6 2 10" xfId="6983"/>
    <cellStyle name="Normal 6 6 2 11" xfId="7169"/>
    <cellStyle name="Normal 6 6 2 2" xfId="375"/>
    <cellStyle name="Normal 6 6 2 2 2" xfId="2340"/>
    <cellStyle name="Normal 6 6 2 2 2 2" xfId="4547"/>
    <cellStyle name="Normal 6 6 2 2 2 3" xfId="6767"/>
    <cellStyle name="Normal 6 6 2 2 3" xfId="1306"/>
    <cellStyle name="Normal 6 6 2 2 3 2" xfId="3594"/>
    <cellStyle name="Normal 6 6 2 2 3 3" xfId="5814"/>
    <cellStyle name="Normal 6 6 2 2 4" xfId="2691"/>
    <cellStyle name="Normal 6 6 2 2 5" xfId="4911"/>
    <cellStyle name="Normal 6 6 2 3" xfId="580"/>
    <cellStyle name="Normal 6 6 2 3 2" xfId="1493"/>
    <cellStyle name="Normal 6 6 2 3 2 2" xfId="3781"/>
    <cellStyle name="Normal 6 6 2 3 2 3" xfId="6001"/>
    <cellStyle name="Normal 6 6 2 3 3" xfId="2878"/>
    <cellStyle name="Normal 6 6 2 3 4" xfId="5098"/>
    <cellStyle name="Normal 6 6 2 4" xfId="770"/>
    <cellStyle name="Normal 6 6 2 4 2" xfId="1681"/>
    <cellStyle name="Normal 6 6 2 4 2 2" xfId="3969"/>
    <cellStyle name="Normal 6 6 2 4 2 3" xfId="6189"/>
    <cellStyle name="Normal 6 6 2 4 3" xfId="3066"/>
    <cellStyle name="Normal 6 6 2 4 4" xfId="5286"/>
    <cellStyle name="Normal 6 6 2 5" xfId="955"/>
    <cellStyle name="Normal 6 6 2 5 2" xfId="1866"/>
    <cellStyle name="Normal 6 6 2 5 2 2" xfId="4154"/>
    <cellStyle name="Normal 6 6 2 5 2 3" xfId="6374"/>
    <cellStyle name="Normal 6 6 2 5 3" xfId="3251"/>
    <cellStyle name="Normal 6 6 2 5 4" xfId="5471"/>
    <cellStyle name="Normal 6 6 2 6" xfId="2131"/>
    <cellStyle name="Normal 6 6 2 6 2" xfId="4416"/>
    <cellStyle name="Normal 6 6 2 6 3" xfId="6636"/>
    <cellStyle name="Normal 6 6 2 7" xfId="1170"/>
    <cellStyle name="Normal 6 6 2 7 2" xfId="3461"/>
    <cellStyle name="Normal 6 6 2 7 3" xfId="5681"/>
    <cellStyle name="Normal 6 6 2 8" xfId="2558"/>
    <cellStyle name="Normal 6 6 2 9" xfId="4777"/>
    <cellStyle name="Normal 6 6 3" xfId="374"/>
    <cellStyle name="Normal 6 6 3 2" xfId="1959"/>
    <cellStyle name="Normal 6 6 3 2 2" xfId="4246"/>
    <cellStyle name="Normal 6 6 3 2 3" xfId="6466"/>
    <cellStyle name="Normal 6 6 3 3" xfId="1305"/>
    <cellStyle name="Normal 6 6 3 3 2" xfId="3593"/>
    <cellStyle name="Normal 6 6 3 3 3" xfId="5813"/>
    <cellStyle name="Normal 6 6 3 4" xfId="2690"/>
    <cellStyle name="Normal 6 6 3 5" xfId="4910"/>
    <cellStyle name="Normal 6 6 4" xfId="579"/>
    <cellStyle name="Normal 6 6 4 2" xfId="1492"/>
    <cellStyle name="Normal 6 6 4 2 2" xfId="3780"/>
    <cellStyle name="Normal 6 6 4 2 3" xfId="6000"/>
    <cellStyle name="Normal 6 6 4 3" xfId="2877"/>
    <cellStyle name="Normal 6 6 4 4" xfId="5097"/>
    <cellStyle name="Normal 6 6 5" xfId="769"/>
    <cellStyle name="Normal 6 6 5 2" xfId="1680"/>
    <cellStyle name="Normal 6 6 5 2 2" xfId="3968"/>
    <cellStyle name="Normal 6 6 5 2 3" xfId="6188"/>
    <cellStyle name="Normal 6 6 5 3" xfId="3065"/>
    <cellStyle name="Normal 6 6 5 4" xfId="5285"/>
    <cellStyle name="Normal 6 6 6" xfId="954"/>
    <cellStyle name="Normal 6 6 6 2" xfId="1865"/>
    <cellStyle name="Normal 6 6 6 2 2" xfId="4153"/>
    <cellStyle name="Normal 6 6 6 2 3" xfId="6373"/>
    <cellStyle name="Normal 6 6 6 3" xfId="3250"/>
    <cellStyle name="Normal 6 6 6 4" xfId="5470"/>
    <cellStyle name="Normal 6 6 7" xfId="2130"/>
    <cellStyle name="Normal 6 6 7 2" xfId="4415"/>
    <cellStyle name="Normal 6 6 7 3" xfId="6635"/>
    <cellStyle name="Normal 6 6 8" xfId="1090"/>
    <cellStyle name="Normal 6 6 8 2" xfId="3382"/>
    <cellStyle name="Normal 6 6 8 3" xfId="5602"/>
    <cellStyle name="Normal 6 6 9" xfId="2479"/>
    <cellStyle name="Normal 6 7" xfId="107"/>
    <cellStyle name="Normal 6 7 10" xfId="6984"/>
    <cellStyle name="Normal 6 7 11" xfId="7170"/>
    <cellStyle name="Normal 6 7 2" xfId="376"/>
    <cellStyle name="Normal 6 7 2 2" xfId="1957"/>
    <cellStyle name="Normal 6 7 2 2 2" xfId="4244"/>
    <cellStyle name="Normal 6 7 2 2 3" xfId="6464"/>
    <cellStyle name="Normal 6 7 2 3" xfId="1307"/>
    <cellStyle name="Normal 6 7 2 3 2" xfId="3595"/>
    <cellStyle name="Normal 6 7 2 3 3" xfId="5815"/>
    <cellStyle name="Normal 6 7 2 4" xfId="2692"/>
    <cellStyle name="Normal 6 7 2 5" xfId="4912"/>
    <cellStyle name="Normal 6 7 3" xfId="581"/>
    <cellStyle name="Normal 6 7 3 2" xfId="1494"/>
    <cellStyle name="Normal 6 7 3 2 2" xfId="3782"/>
    <cellStyle name="Normal 6 7 3 2 3" xfId="6002"/>
    <cellStyle name="Normal 6 7 3 3" xfId="2879"/>
    <cellStyle name="Normal 6 7 3 4" xfId="5099"/>
    <cellStyle name="Normal 6 7 4" xfId="771"/>
    <cellStyle name="Normal 6 7 4 2" xfId="1682"/>
    <cellStyle name="Normal 6 7 4 2 2" xfId="3970"/>
    <cellStyle name="Normal 6 7 4 2 3" xfId="6190"/>
    <cellStyle name="Normal 6 7 4 3" xfId="3067"/>
    <cellStyle name="Normal 6 7 4 4" xfId="5287"/>
    <cellStyle name="Normal 6 7 5" xfId="956"/>
    <cellStyle name="Normal 6 7 5 2" xfId="1867"/>
    <cellStyle name="Normal 6 7 5 2 2" xfId="4155"/>
    <cellStyle name="Normal 6 7 5 2 3" xfId="6375"/>
    <cellStyle name="Normal 6 7 5 3" xfId="3252"/>
    <cellStyle name="Normal 6 7 5 4" xfId="5472"/>
    <cellStyle name="Normal 6 7 6" xfId="2132"/>
    <cellStyle name="Normal 6 7 6 2" xfId="4417"/>
    <cellStyle name="Normal 6 7 6 3" xfId="6637"/>
    <cellStyle name="Normal 6 7 7" xfId="1111"/>
    <cellStyle name="Normal 6 7 7 2" xfId="3402"/>
    <cellStyle name="Normal 6 7 7 3" xfId="5622"/>
    <cellStyle name="Normal 6 7 8" xfId="2499"/>
    <cellStyle name="Normal 6 7 9" xfId="4718"/>
    <cellStyle name="Normal 6 8" xfId="363"/>
    <cellStyle name="Normal 6 8 2" xfId="1940"/>
    <cellStyle name="Normal 6 8 2 2" xfId="4228"/>
    <cellStyle name="Normal 6 8 2 3" xfId="6448"/>
    <cellStyle name="Normal 6 8 3" xfId="2335"/>
    <cellStyle name="Normal 6 8 3 2" xfId="4542"/>
    <cellStyle name="Normal 6 8 3 3" xfId="6762"/>
    <cellStyle name="Normal 6 8 4" xfId="1294"/>
    <cellStyle name="Normal 6 8 4 2" xfId="3582"/>
    <cellStyle name="Normal 6 8 4 3" xfId="5802"/>
    <cellStyle name="Normal 6 8 5" xfId="2679"/>
    <cellStyle name="Normal 6 8 6" xfId="4899"/>
    <cellStyle name="Normal 6 9" xfId="568"/>
    <cellStyle name="Normal 6 9 2" xfId="2365"/>
    <cellStyle name="Normal 6 9 2 2" xfId="4569"/>
    <cellStyle name="Normal 6 9 2 3" xfId="6789"/>
    <cellStyle name="Normal 6 9 3" xfId="1481"/>
    <cellStyle name="Normal 6 9 3 2" xfId="3769"/>
    <cellStyle name="Normal 6 9 3 3" xfId="5989"/>
    <cellStyle name="Normal 6 9 4" xfId="2866"/>
    <cellStyle name="Normal 6 9 5" xfId="5086"/>
    <cellStyle name="Normal 7" xfId="95"/>
    <cellStyle name="Normal 7 10" xfId="7228"/>
    <cellStyle name="Normal 7 2" xfId="452"/>
    <cellStyle name="Normal 7 2 2" xfId="2281"/>
    <cellStyle name="Normal 7 2 2 2" xfId="4502"/>
    <cellStyle name="Normal 7 2 2 3" xfId="6721"/>
    <cellStyle name="Normal 7 2 3" xfId="2360"/>
    <cellStyle name="Normal 7 2 3 2" xfId="4564"/>
    <cellStyle name="Normal 7 2 3 3" xfId="6784"/>
    <cellStyle name="Normal 7 2 4" xfId="1365"/>
    <cellStyle name="Normal 7 2 4 2" xfId="3653"/>
    <cellStyle name="Normal 7 2 4 3" xfId="5873"/>
    <cellStyle name="Normal 7 2 5" xfId="2750"/>
    <cellStyle name="Normal 7 2 6" xfId="4970"/>
    <cellStyle name="Normal 7 3" xfId="639"/>
    <cellStyle name="Normal 7 3 2" xfId="2369"/>
    <cellStyle name="Normal 7 3 2 2" xfId="4573"/>
    <cellStyle name="Normal 7 3 2 3" xfId="6793"/>
    <cellStyle name="Normal 7 3 3" xfId="2247"/>
    <cellStyle name="Normal 7 3 4" xfId="1552"/>
    <cellStyle name="Normal 7 3 4 2" xfId="3840"/>
    <cellStyle name="Normal 7 3 4 3" xfId="6060"/>
    <cellStyle name="Normal 7 3 5" xfId="2937"/>
    <cellStyle name="Normal 7 3 6" xfId="5157"/>
    <cellStyle name="Normal 7 4" xfId="829"/>
    <cellStyle name="Normal 7 4 2" xfId="1740"/>
    <cellStyle name="Normal 7 4 2 2" xfId="4028"/>
    <cellStyle name="Normal 7 4 2 3" xfId="6248"/>
    <cellStyle name="Normal 7 4 3" xfId="3125"/>
    <cellStyle name="Normal 7 4 4" xfId="5345"/>
    <cellStyle name="Normal 7 5" xfId="1014"/>
    <cellStyle name="Normal 7 5 2" xfId="1994"/>
    <cellStyle name="Normal 7 5 3" xfId="1925"/>
    <cellStyle name="Normal 7 5 3 2" xfId="4213"/>
    <cellStyle name="Normal 7 5 3 3" xfId="6433"/>
    <cellStyle name="Normal 7 5 4" xfId="3310"/>
    <cellStyle name="Normal 7 5 5" xfId="5530"/>
    <cellStyle name="Normal 7 6" xfId="2007"/>
    <cellStyle name="Normal 7 6 2" xfId="4292"/>
    <cellStyle name="Normal 7 6 3" xfId="6512"/>
    <cellStyle name="Normal 7 7" xfId="2190"/>
    <cellStyle name="Normal 7 7 2" xfId="4475"/>
    <cellStyle name="Normal 7 7 3" xfId="6695"/>
    <cellStyle name="Normal 7 8" xfId="1101"/>
    <cellStyle name="Normal 7 9" xfId="7042"/>
    <cellStyle name="Normal 8" xfId="92"/>
    <cellStyle name="Normal 8 2" xfId="176"/>
    <cellStyle name="Normal 8 2 2" xfId="2294"/>
    <cellStyle name="Normal 8 2 3" xfId="2248"/>
    <cellStyle name="Normal 8 3" xfId="1988"/>
    <cellStyle name="Normal 8 3 2" xfId="4274"/>
    <cellStyle name="Normal 8 3 3" xfId="6494"/>
    <cellStyle name="Normal 8 4" xfId="2291"/>
    <cellStyle name="Normal 8 4 2" xfId="4509"/>
    <cellStyle name="Normal 8 4 3" xfId="6728"/>
    <cellStyle name="Normal 8 5" xfId="1098"/>
    <cellStyle name="Normal 8 5 2" xfId="3390"/>
    <cellStyle name="Normal 8 5 3" xfId="5610"/>
    <cellStyle name="Normal 8 6" xfId="2487"/>
    <cellStyle name="Normal 8 7" xfId="4704"/>
    <cellStyle name="Normal 8 8" xfId="6858"/>
    <cellStyle name="Normal 9" xfId="174"/>
    <cellStyle name="Normal 9 2" xfId="2293"/>
    <cellStyle name="Normal 9 2 2" xfId="4511"/>
    <cellStyle name="Normal 9 2 3" xfId="6730"/>
    <cellStyle name="Normal 9 3" xfId="2249"/>
    <cellStyle name="Normal 9 4" xfId="1178"/>
    <cellStyle name="Normal 9 4 2" xfId="3469"/>
    <cellStyle name="Normal 9 4 3" xfId="5689"/>
    <cellStyle name="Normal 9 5" xfId="2566"/>
    <cellStyle name="Normal 9 6" xfId="4785"/>
    <cellStyle name="Normale_Tarif" xfId="377"/>
    <cellStyle name="Note" xfId="378"/>
    <cellStyle name="Note 2" xfId="4593"/>
    <cellStyle name="Note 3" xfId="4604"/>
    <cellStyle name="Note 4" xfId="4617"/>
    <cellStyle name="Note 5" xfId="6827"/>
    <cellStyle name="Note 6" xfId="6828"/>
    <cellStyle name="Note 7" xfId="6852"/>
    <cellStyle name="Note 8" xfId="4708"/>
    <cellStyle name="Output" xfId="379"/>
    <cellStyle name="Output 2" xfId="4598"/>
    <cellStyle name="Output 3" xfId="4622"/>
    <cellStyle name="Output 4" xfId="4599"/>
    <cellStyle name="Output 5" xfId="6834"/>
    <cellStyle name="Output 6" xfId="6854"/>
    <cellStyle name="Output 7" xfId="6846"/>
    <cellStyle name="Output 8" xfId="6856"/>
    <cellStyle name="Pourcent00" xfId="2250"/>
    <cellStyle name="Pourcent000" xfId="2251"/>
    <cellStyle name="Pourcent0000" xfId="2252"/>
    <cellStyle name="Pourcentage" xfId="3" builtinId="5"/>
    <cellStyle name="Pourcentage 10" xfId="454"/>
    <cellStyle name="Pourcentage 10 2" xfId="1367"/>
    <cellStyle name="Pourcentage 10 2 2" xfId="3655"/>
    <cellStyle name="Pourcentage 10 2 3" xfId="5875"/>
    <cellStyle name="Pourcentage 10 3" xfId="2752"/>
    <cellStyle name="Pourcentage 10 4" xfId="4972"/>
    <cellStyle name="Pourcentage 11" xfId="641"/>
    <cellStyle name="Pourcentage 11 2" xfId="1554"/>
    <cellStyle name="Pourcentage 11 2 2" xfId="3842"/>
    <cellStyle name="Pourcentage 11 2 3" xfId="6062"/>
    <cellStyle name="Pourcentage 11 3" xfId="2406"/>
    <cellStyle name="Pourcentage 11 3 2" xfId="4589"/>
    <cellStyle name="Pourcentage 11 3 3" xfId="6809"/>
    <cellStyle name="Pourcentage 11 4" xfId="2939"/>
    <cellStyle name="Pourcentage 11 5" xfId="5159"/>
    <cellStyle name="Pourcentage 12" xfId="645"/>
    <cellStyle name="Pourcentage 12 2" xfId="1557"/>
    <cellStyle name="Pourcentage 12 2 2" xfId="3845"/>
    <cellStyle name="Pourcentage 12 2 3" xfId="6065"/>
    <cellStyle name="Pourcentage 12 3" xfId="2942"/>
    <cellStyle name="Pourcentage 12 4" xfId="5162"/>
    <cellStyle name="Pourcentage 13" xfId="1019"/>
    <cellStyle name="Pourcentage 14" xfId="2398"/>
    <cellStyle name="Pourcentage 14 2" xfId="4582"/>
    <cellStyle name="Pourcentage 14 3" xfId="6802"/>
    <cellStyle name="Pourcentage 15" xfId="2400"/>
    <cellStyle name="Pourcentage 15 2" xfId="4584"/>
    <cellStyle name="Pourcentage 15 3" xfId="6804"/>
    <cellStyle name="Pourcentage 16" xfId="2405"/>
    <cellStyle name="Pourcentage 16 2" xfId="4588"/>
    <cellStyle name="Pourcentage 16 3" xfId="6808"/>
    <cellStyle name="Pourcentage 17" xfId="6859"/>
    <cellStyle name="Pourcentage 18" xfId="7045"/>
    <cellStyle name="Pourcentage 2" xfId="8"/>
    <cellStyle name="Pourcentage 2 10" xfId="4630"/>
    <cellStyle name="Pourcentage 2 2" xfId="15"/>
    <cellStyle name="Pourcentage 2 2 2" xfId="41"/>
    <cellStyle name="Pourcentage 2 2 3" xfId="1942"/>
    <cellStyle name="Pourcentage 2 3" xfId="101"/>
    <cellStyle name="Pourcentage 2 3 10" xfId="4712"/>
    <cellStyle name="Pourcentage 2 3 11" xfId="6985"/>
    <cellStyle name="Pourcentage 2 3 12" xfId="7171"/>
    <cellStyle name="Pourcentage 2 3 2" xfId="381"/>
    <cellStyle name="Pourcentage 2 3 2 10" xfId="7172"/>
    <cellStyle name="Pourcentage 2 3 2 2" xfId="583"/>
    <cellStyle name="Pourcentage 2 3 2 2 2" xfId="1496"/>
    <cellStyle name="Pourcentage 2 3 2 2 2 2" xfId="3784"/>
    <cellStyle name="Pourcentage 2 3 2 2 2 3" xfId="6004"/>
    <cellStyle name="Pourcentage 2 3 2 2 3" xfId="2881"/>
    <cellStyle name="Pourcentage 2 3 2 2 4" xfId="5101"/>
    <cellStyle name="Pourcentage 2 3 2 3" xfId="773"/>
    <cellStyle name="Pourcentage 2 3 2 3 2" xfId="1684"/>
    <cellStyle name="Pourcentage 2 3 2 3 2 2" xfId="3972"/>
    <cellStyle name="Pourcentage 2 3 2 3 2 3" xfId="6192"/>
    <cellStyle name="Pourcentage 2 3 2 3 3" xfId="3069"/>
    <cellStyle name="Pourcentage 2 3 2 3 4" xfId="5289"/>
    <cellStyle name="Pourcentage 2 3 2 4" xfId="958"/>
    <cellStyle name="Pourcentage 2 3 2 4 2" xfId="1869"/>
    <cellStyle name="Pourcentage 2 3 2 4 2 2" xfId="4157"/>
    <cellStyle name="Pourcentage 2 3 2 4 2 3" xfId="6377"/>
    <cellStyle name="Pourcentage 2 3 2 4 3" xfId="3254"/>
    <cellStyle name="Pourcentage 2 3 2 4 4" xfId="5474"/>
    <cellStyle name="Pourcentage 2 3 2 5" xfId="2134"/>
    <cellStyle name="Pourcentage 2 3 2 5 2" xfId="4419"/>
    <cellStyle name="Pourcentage 2 3 2 5 3" xfId="6639"/>
    <cellStyle name="Pourcentage 2 3 2 6" xfId="1309"/>
    <cellStyle name="Pourcentage 2 3 2 6 2" xfId="3597"/>
    <cellStyle name="Pourcentage 2 3 2 6 3" xfId="5817"/>
    <cellStyle name="Pourcentage 2 3 2 7" xfId="2694"/>
    <cellStyle name="Pourcentage 2 3 2 8" xfId="4914"/>
    <cellStyle name="Pourcentage 2 3 2 9" xfId="6986"/>
    <cellStyle name="Pourcentage 2 3 3" xfId="380"/>
    <cellStyle name="Pourcentage 2 3 3 2" xfId="1308"/>
    <cellStyle name="Pourcentage 2 3 3 2 2" xfId="3596"/>
    <cellStyle name="Pourcentage 2 3 3 2 3" xfId="5816"/>
    <cellStyle name="Pourcentage 2 3 3 3" xfId="2693"/>
    <cellStyle name="Pourcentage 2 3 3 4" xfId="4913"/>
    <cellStyle name="Pourcentage 2 3 4" xfId="582"/>
    <cellStyle name="Pourcentage 2 3 4 2" xfId="1495"/>
    <cellStyle name="Pourcentage 2 3 4 2 2" xfId="3783"/>
    <cellStyle name="Pourcentage 2 3 4 2 3" xfId="6003"/>
    <cellStyle name="Pourcentage 2 3 4 3" xfId="2880"/>
    <cellStyle name="Pourcentage 2 3 4 4" xfId="5100"/>
    <cellStyle name="Pourcentage 2 3 5" xfId="772"/>
    <cellStyle name="Pourcentage 2 3 5 2" xfId="1683"/>
    <cellStyle name="Pourcentage 2 3 5 2 2" xfId="3971"/>
    <cellStyle name="Pourcentage 2 3 5 2 3" xfId="6191"/>
    <cellStyle name="Pourcentage 2 3 5 3" xfId="3068"/>
    <cellStyle name="Pourcentage 2 3 5 4" xfId="5288"/>
    <cellStyle name="Pourcentage 2 3 6" xfId="957"/>
    <cellStyle name="Pourcentage 2 3 6 2" xfId="1868"/>
    <cellStyle name="Pourcentage 2 3 6 2 2" xfId="4156"/>
    <cellStyle name="Pourcentage 2 3 6 2 3" xfId="6376"/>
    <cellStyle name="Pourcentage 2 3 6 3" xfId="3253"/>
    <cellStyle name="Pourcentage 2 3 6 4" xfId="5473"/>
    <cellStyle name="Pourcentage 2 3 7" xfId="2133"/>
    <cellStyle name="Pourcentage 2 3 7 2" xfId="4418"/>
    <cellStyle name="Pourcentage 2 3 7 3" xfId="6638"/>
    <cellStyle name="Pourcentage 2 3 8" xfId="1105"/>
    <cellStyle name="Pourcentage 2 3 8 2" xfId="3396"/>
    <cellStyle name="Pourcentage 2 3 8 3" xfId="5616"/>
    <cellStyle name="Pourcentage 2 3 9" xfId="2493"/>
    <cellStyle name="Pourcentage 2 4" xfId="382"/>
    <cellStyle name="Pourcentage 2 4 2" xfId="1971"/>
    <cellStyle name="Pourcentage 2 4 2 2" xfId="2341"/>
    <cellStyle name="Pourcentage 2 4 2 3" xfId="4257"/>
    <cellStyle name="Pourcentage 2 4 2 4" xfId="6477"/>
    <cellStyle name="Pourcentage 2 4 3" xfId="2253"/>
    <cellStyle name="Pourcentage 2 5" xfId="2197"/>
    <cellStyle name="Pourcentage 2 5 2" xfId="2272"/>
    <cellStyle name="Pourcentage 2 5 2 2" xfId="4493"/>
    <cellStyle name="Pourcentage 2 5 2 3" xfId="6712"/>
    <cellStyle name="Pourcentage 2 5 3" xfId="2380"/>
    <cellStyle name="Pourcentage 2 5 4" xfId="4478"/>
    <cellStyle name="Pourcentage 2 5 5" xfId="6698"/>
    <cellStyle name="Pourcentage 2 6" xfId="2288"/>
    <cellStyle name="Pourcentage 2 6 2" xfId="4506"/>
    <cellStyle name="Pourcentage 2 6 3" xfId="6725"/>
    <cellStyle name="Pourcentage 2 7" xfId="1023"/>
    <cellStyle name="Pourcentage 2 7 2" xfId="3317"/>
    <cellStyle name="Pourcentage 2 7 3" xfId="5537"/>
    <cellStyle name="Pourcentage 2 8" xfId="2390"/>
    <cellStyle name="Pourcentage 2 9" xfId="2414"/>
    <cellStyle name="Pourcentage 3" xfId="11"/>
    <cellStyle name="Pourcentage 3 10" xfId="383"/>
    <cellStyle name="Pourcentage 3 10 10" xfId="7173"/>
    <cellStyle name="Pourcentage 3 10 2" xfId="584"/>
    <cellStyle name="Pourcentage 3 10 2 2" xfId="2366"/>
    <cellStyle name="Pourcentage 3 10 2 2 2" xfId="4570"/>
    <cellStyle name="Pourcentage 3 10 2 2 3" xfId="6790"/>
    <cellStyle name="Pourcentage 3 10 2 3" xfId="1497"/>
    <cellStyle name="Pourcentage 3 10 2 3 2" xfId="3785"/>
    <cellStyle name="Pourcentage 3 10 2 3 3" xfId="6005"/>
    <cellStyle name="Pourcentage 3 10 2 4" xfId="2882"/>
    <cellStyle name="Pourcentage 3 10 2 5" xfId="5102"/>
    <cellStyle name="Pourcentage 3 10 3" xfId="774"/>
    <cellStyle name="Pourcentage 3 10 3 2" xfId="1685"/>
    <cellStyle name="Pourcentage 3 10 3 2 2" xfId="3973"/>
    <cellStyle name="Pourcentage 3 10 3 2 3" xfId="6193"/>
    <cellStyle name="Pourcentage 3 10 3 3" xfId="3070"/>
    <cellStyle name="Pourcentage 3 10 3 4" xfId="5290"/>
    <cellStyle name="Pourcentage 3 10 4" xfId="959"/>
    <cellStyle name="Pourcentage 3 10 4 2" xfId="1870"/>
    <cellStyle name="Pourcentage 3 10 4 2 2" xfId="4158"/>
    <cellStyle name="Pourcentage 3 10 4 2 3" xfId="6378"/>
    <cellStyle name="Pourcentage 3 10 4 3" xfId="3255"/>
    <cellStyle name="Pourcentage 3 10 4 4" xfId="5475"/>
    <cellStyle name="Pourcentage 3 10 5" xfId="2135"/>
    <cellStyle name="Pourcentage 3 10 5 2" xfId="4420"/>
    <cellStyle name="Pourcentage 3 10 5 3" xfId="6640"/>
    <cellStyle name="Pourcentage 3 10 6" xfId="1310"/>
    <cellStyle name="Pourcentage 3 10 6 2" xfId="3598"/>
    <cellStyle name="Pourcentage 3 10 6 3" xfId="5818"/>
    <cellStyle name="Pourcentage 3 10 7" xfId="2695"/>
    <cellStyle name="Pourcentage 3 10 8" xfId="4915"/>
    <cellStyle name="Pourcentage 3 10 9" xfId="6987"/>
    <cellStyle name="Pourcentage 3 11" xfId="384"/>
    <cellStyle name="Pourcentage 3 11 10" xfId="7174"/>
    <cellStyle name="Pourcentage 3 11 2" xfId="585"/>
    <cellStyle name="Pourcentage 3 11 2 2" xfId="2367"/>
    <cellStyle name="Pourcentage 3 11 2 2 2" xfId="4571"/>
    <cellStyle name="Pourcentage 3 11 2 2 3" xfId="6791"/>
    <cellStyle name="Pourcentage 3 11 2 3" xfId="1498"/>
    <cellStyle name="Pourcentage 3 11 2 3 2" xfId="3786"/>
    <cellStyle name="Pourcentage 3 11 2 3 3" xfId="6006"/>
    <cellStyle name="Pourcentage 3 11 2 4" xfId="2883"/>
    <cellStyle name="Pourcentage 3 11 2 5" xfId="5103"/>
    <cellStyle name="Pourcentage 3 11 3" xfId="775"/>
    <cellStyle name="Pourcentage 3 11 3 2" xfId="1686"/>
    <cellStyle name="Pourcentage 3 11 3 2 2" xfId="3974"/>
    <cellStyle name="Pourcentage 3 11 3 2 3" xfId="6194"/>
    <cellStyle name="Pourcentage 3 11 3 3" xfId="3071"/>
    <cellStyle name="Pourcentage 3 11 3 4" xfId="5291"/>
    <cellStyle name="Pourcentage 3 11 4" xfId="960"/>
    <cellStyle name="Pourcentage 3 11 4 2" xfId="1871"/>
    <cellStyle name="Pourcentage 3 11 4 2 2" xfId="4159"/>
    <cellStyle name="Pourcentage 3 11 4 2 3" xfId="6379"/>
    <cellStyle name="Pourcentage 3 11 4 3" xfId="3256"/>
    <cellStyle name="Pourcentage 3 11 4 4" xfId="5476"/>
    <cellStyle name="Pourcentage 3 11 5" xfId="2136"/>
    <cellStyle name="Pourcentage 3 11 5 2" xfId="4421"/>
    <cellStyle name="Pourcentage 3 11 5 3" xfId="6641"/>
    <cellStyle name="Pourcentage 3 11 6" xfId="1311"/>
    <cellStyle name="Pourcentage 3 11 6 2" xfId="3599"/>
    <cellStyle name="Pourcentage 3 11 6 3" xfId="5819"/>
    <cellStyle name="Pourcentage 3 11 7" xfId="2696"/>
    <cellStyle name="Pourcentage 3 11 8" xfId="4916"/>
    <cellStyle name="Pourcentage 3 11 9" xfId="6988"/>
    <cellStyle name="Pourcentage 3 12" xfId="179"/>
    <cellStyle name="Pourcentage 3 12 2" xfId="2296"/>
    <cellStyle name="Pourcentage 3 12 3" xfId="2267"/>
    <cellStyle name="Pourcentage 3 12 3 2" xfId="4489"/>
    <cellStyle name="Pourcentage 3 12 3 3" xfId="6708"/>
    <cellStyle name="Pourcentage 3 13" xfId="2289"/>
    <cellStyle name="Pourcentage 3 13 2" xfId="4507"/>
    <cellStyle name="Pourcentage 3 13 3" xfId="6726"/>
    <cellStyle name="Pourcentage 3 14" xfId="1026"/>
    <cellStyle name="Pourcentage 3 14 2" xfId="3320"/>
    <cellStyle name="Pourcentage 3 14 3" xfId="5540"/>
    <cellStyle name="Pourcentage 3 15" xfId="2417"/>
    <cellStyle name="Pourcentage 3 16" xfId="4633"/>
    <cellStyle name="Pourcentage 3 2" xfId="26"/>
    <cellStyle name="Pourcentage 3 2 10" xfId="776"/>
    <cellStyle name="Pourcentage 3 2 10 2" xfId="1687"/>
    <cellStyle name="Pourcentage 3 2 10 2 2" xfId="3975"/>
    <cellStyle name="Pourcentage 3 2 10 2 3" xfId="6195"/>
    <cellStyle name="Pourcentage 3 2 10 3" xfId="3072"/>
    <cellStyle name="Pourcentage 3 2 10 4" xfId="5292"/>
    <cellStyle name="Pourcentage 3 2 11" xfId="961"/>
    <cellStyle name="Pourcentage 3 2 11 2" xfId="1872"/>
    <cellStyle name="Pourcentage 3 2 11 2 2" xfId="4160"/>
    <cellStyle name="Pourcentage 3 2 11 2 3" xfId="6380"/>
    <cellStyle name="Pourcentage 3 2 11 3" xfId="3257"/>
    <cellStyle name="Pourcentage 3 2 11 4" xfId="5477"/>
    <cellStyle name="Pourcentage 3 2 12" xfId="2137"/>
    <cellStyle name="Pourcentage 3 2 12 2" xfId="4422"/>
    <cellStyle name="Pourcentage 3 2 12 3" xfId="6642"/>
    <cellStyle name="Pourcentage 3 2 13" xfId="1036"/>
    <cellStyle name="Pourcentage 3 2 13 2" xfId="3329"/>
    <cellStyle name="Pourcentage 3 2 13 3" xfId="5549"/>
    <cellStyle name="Pourcentage 3 2 14" xfId="2426"/>
    <cellStyle name="Pourcentage 3 2 15" xfId="4642"/>
    <cellStyle name="Pourcentage 3 2 16" xfId="6989"/>
    <cellStyle name="Pourcentage 3 2 17" xfId="7175"/>
    <cellStyle name="Pourcentage 3 2 2" xfId="38"/>
    <cellStyle name="Pourcentage 3 2 2 10" xfId="2437"/>
    <cellStyle name="Pourcentage 3 2 2 11" xfId="4654"/>
    <cellStyle name="Pourcentage 3 2 2 12" xfId="6990"/>
    <cellStyle name="Pourcentage 3 2 2 13" xfId="7176"/>
    <cellStyle name="Pourcentage 3 2 2 2" xfId="124"/>
    <cellStyle name="Pourcentage 3 2 2 2 10" xfId="4735"/>
    <cellStyle name="Pourcentage 3 2 2 2 11" xfId="6991"/>
    <cellStyle name="Pourcentage 3 2 2 2 12" xfId="7177"/>
    <cellStyle name="Pourcentage 3 2 2 2 2" xfId="388"/>
    <cellStyle name="Pourcentage 3 2 2 2 2 10" xfId="7178"/>
    <cellStyle name="Pourcentage 3 2 2 2 2 2" xfId="589"/>
    <cellStyle name="Pourcentage 3 2 2 2 2 2 2" xfId="1502"/>
    <cellStyle name="Pourcentage 3 2 2 2 2 2 2 2" xfId="3790"/>
    <cellStyle name="Pourcentage 3 2 2 2 2 2 2 3" xfId="6010"/>
    <cellStyle name="Pourcentage 3 2 2 2 2 2 3" xfId="2887"/>
    <cellStyle name="Pourcentage 3 2 2 2 2 2 4" xfId="5107"/>
    <cellStyle name="Pourcentage 3 2 2 2 2 3" xfId="779"/>
    <cellStyle name="Pourcentage 3 2 2 2 2 3 2" xfId="1690"/>
    <cellStyle name="Pourcentage 3 2 2 2 2 3 2 2" xfId="3978"/>
    <cellStyle name="Pourcentage 3 2 2 2 2 3 2 3" xfId="6198"/>
    <cellStyle name="Pourcentage 3 2 2 2 2 3 3" xfId="3075"/>
    <cellStyle name="Pourcentage 3 2 2 2 2 3 4" xfId="5295"/>
    <cellStyle name="Pourcentage 3 2 2 2 2 4" xfId="964"/>
    <cellStyle name="Pourcentage 3 2 2 2 2 4 2" xfId="1875"/>
    <cellStyle name="Pourcentage 3 2 2 2 2 4 2 2" xfId="4163"/>
    <cellStyle name="Pourcentage 3 2 2 2 2 4 2 3" xfId="6383"/>
    <cellStyle name="Pourcentage 3 2 2 2 2 4 3" xfId="3260"/>
    <cellStyle name="Pourcentage 3 2 2 2 2 4 4" xfId="5480"/>
    <cellStyle name="Pourcentage 3 2 2 2 2 5" xfId="2140"/>
    <cellStyle name="Pourcentage 3 2 2 2 2 5 2" xfId="4425"/>
    <cellStyle name="Pourcentage 3 2 2 2 2 5 3" xfId="6645"/>
    <cellStyle name="Pourcentage 3 2 2 2 2 6" xfId="1315"/>
    <cellStyle name="Pourcentage 3 2 2 2 2 6 2" xfId="3603"/>
    <cellStyle name="Pourcentage 3 2 2 2 2 6 3" xfId="5823"/>
    <cellStyle name="Pourcentage 3 2 2 2 2 7" xfId="2700"/>
    <cellStyle name="Pourcentage 3 2 2 2 2 8" xfId="4920"/>
    <cellStyle name="Pourcentage 3 2 2 2 2 9" xfId="6992"/>
    <cellStyle name="Pourcentage 3 2 2 2 3" xfId="387"/>
    <cellStyle name="Pourcentage 3 2 2 2 3 2" xfId="1314"/>
    <cellStyle name="Pourcentage 3 2 2 2 3 2 2" xfId="3602"/>
    <cellStyle name="Pourcentage 3 2 2 2 3 2 3" xfId="5822"/>
    <cellStyle name="Pourcentage 3 2 2 2 3 3" xfId="2699"/>
    <cellStyle name="Pourcentage 3 2 2 2 3 4" xfId="4919"/>
    <cellStyle name="Pourcentage 3 2 2 2 4" xfId="588"/>
    <cellStyle name="Pourcentage 3 2 2 2 4 2" xfId="1501"/>
    <cellStyle name="Pourcentage 3 2 2 2 4 2 2" xfId="3789"/>
    <cellStyle name="Pourcentage 3 2 2 2 4 2 3" xfId="6009"/>
    <cellStyle name="Pourcentage 3 2 2 2 4 3" xfId="2886"/>
    <cellStyle name="Pourcentage 3 2 2 2 4 4" xfId="5106"/>
    <cellStyle name="Pourcentage 3 2 2 2 5" xfId="778"/>
    <cellStyle name="Pourcentage 3 2 2 2 5 2" xfId="1689"/>
    <cellStyle name="Pourcentage 3 2 2 2 5 2 2" xfId="3977"/>
    <cellStyle name="Pourcentage 3 2 2 2 5 2 3" xfId="6197"/>
    <cellStyle name="Pourcentage 3 2 2 2 5 3" xfId="3074"/>
    <cellStyle name="Pourcentage 3 2 2 2 5 4" xfId="5294"/>
    <cellStyle name="Pourcentage 3 2 2 2 6" xfId="963"/>
    <cellStyle name="Pourcentage 3 2 2 2 6 2" xfId="1874"/>
    <cellStyle name="Pourcentage 3 2 2 2 6 2 2" xfId="4162"/>
    <cellStyle name="Pourcentage 3 2 2 2 6 2 3" xfId="6382"/>
    <cellStyle name="Pourcentage 3 2 2 2 6 3" xfId="3259"/>
    <cellStyle name="Pourcentage 3 2 2 2 6 4" xfId="5479"/>
    <cellStyle name="Pourcentage 3 2 2 2 7" xfId="2139"/>
    <cellStyle name="Pourcentage 3 2 2 2 7 2" xfId="4424"/>
    <cellStyle name="Pourcentage 3 2 2 2 7 3" xfId="6644"/>
    <cellStyle name="Pourcentage 3 2 2 2 8" xfId="1128"/>
    <cellStyle name="Pourcentage 3 2 2 2 8 2" xfId="3419"/>
    <cellStyle name="Pourcentage 3 2 2 2 8 3" xfId="5639"/>
    <cellStyle name="Pourcentage 3 2 2 2 9" xfId="2516"/>
    <cellStyle name="Pourcentage 3 2 2 3" xfId="389"/>
    <cellStyle name="Pourcentage 3 2 2 3 10" xfId="7179"/>
    <cellStyle name="Pourcentage 3 2 2 3 2" xfId="590"/>
    <cellStyle name="Pourcentage 3 2 2 3 2 2" xfId="1503"/>
    <cellStyle name="Pourcentage 3 2 2 3 2 2 2" xfId="3791"/>
    <cellStyle name="Pourcentage 3 2 2 3 2 2 3" xfId="6011"/>
    <cellStyle name="Pourcentage 3 2 2 3 2 3" xfId="2888"/>
    <cellStyle name="Pourcentage 3 2 2 3 2 4" xfId="5108"/>
    <cellStyle name="Pourcentage 3 2 2 3 3" xfId="780"/>
    <cellStyle name="Pourcentage 3 2 2 3 3 2" xfId="1691"/>
    <cellStyle name="Pourcentage 3 2 2 3 3 2 2" xfId="3979"/>
    <cellStyle name="Pourcentage 3 2 2 3 3 2 3" xfId="6199"/>
    <cellStyle name="Pourcentage 3 2 2 3 3 3" xfId="3076"/>
    <cellStyle name="Pourcentage 3 2 2 3 3 4" xfId="5296"/>
    <cellStyle name="Pourcentage 3 2 2 3 4" xfId="965"/>
    <cellStyle name="Pourcentage 3 2 2 3 4 2" xfId="1876"/>
    <cellStyle name="Pourcentage 3 2 2 3 4 2 2" xfId="4164"/>
    <cellStyle name="Pourcentage 3 2 2 3 4 2 3" xfId="6384"/>
    <cellStyle name="Pourcentage 3 2 2 3 4 3" xfId="3261"/>
    <cellStyle name="Pourcentage 3 2 2 3 4 4" xfId="5481"/>
    <cellStyle name="Pourcentage 3 2 2 3 5" xfId="2141"/>
    <cellStyle name="Pourcentage 3 2 2 3 5 2" xfId="4426"/>
    <cellStyle name="Pourcentage 3 2 2 3 5 3" xfId="6646"/>
    <cellStyle name="Pourcentage 3 2 2 3 6" xfId="1316"/>
    <cellStyle name="Pourcentage 3 2 2 3 6 2" xfId="3604"/>
    <cellStyle name="Pourcentage 3 2 2 3 6 3" xfId="5824"/>
    <cellStyle name="Pourcentage 3 2 2 3 7" xfId="2701"/>
    <cellStyle name="Pourcentage 3 2 2 3 8" xfId="4921"/>
    <cellStyle name="Pourcentage 3 2 2 3 9" xfId="6993"/>
    <cellStyle name="Pourcentage 3 2 2 4" xfId="386"/>
    <cellStyle name="Pourcentage 3 2 2 4 2" xfId="1313"/>
    <cellStyle name="Pourcentage 3 2 2 4 2 2" xfId="3601"/>
    <cellStyle name="Pourcentage 3 2 2 4 2 3" xfId="5821"/>
    <cellStyle name="Pourcentage 3 2 2 4 3" xfId="2698"/>
    <cellStyle name="Pourcentage 3 2 2 4 4" xfId="4918"/>
    <cellStyle name="Pourcentage 3 2 2 5" xfId="587"/>
    <cellStyle name="Pourcentage 3 2 2 5 2" xfId="1500"/>
    <cellStyle name="Pourcentage 3 2 2 5 2 2" xfId="3788"/>
    <cellStyle name="Pourcentage 3 2 2 5 2 3" xfId="6008"/>
    <cellStyle name="Pourcentage 3 2 2 5 3" xfId="2885"/>
    <cellStyle name="Pourcentage 3 2 2 5 4" xfId="5105"/>
    <cellStyle name="Pourcentage 3 2 2 6" xfId="777"/>
    <cellStyle name="Pourcentage 3 2 2 6 2" xfId="1688"/>
    <cellStyle name="Pourcentage 3 2 2 6 2 2" xfId="3976"/>
    <cellStyle name="Pourcentage 3 2 2 6 2 3" xfId="6196"/>
    <cellStyle name="Pourcentage 3 2 2 6 3" xfId="3073"/>
    <cellStyle name="Pourcentage 3 2 2 6 4" xfId="5293"/>
    <cellStyle name="Pourcentage 3 2 2 7" xfId="962"/>
    <cellStyle name="Pourcentage 3 2 2 7 2" xfId="1873"/>
    <cellStyle name="Pourcentage 3 2 2 7 2 2" xfId="4161"/>
    <cellStyle name="Pourcentage 3 2 2 7 2 3" xfId="6381"/>
    <cellStyle name="Pourcentage 3 2 2 7 3" xfId="3258"/>
    <cellStyle name="Pourcentage 3 2 2 7 4" xfId="5478"/>
    <cellStyle name="Pourcentage 3 2 2 8" xfId="2138"/>
    <cellStyle name="Pourcentage 3 2 2 8 2" xfId="4423"/>
    <cellStyle name="Pourcentage 3 2 2 8 3" xfId="6643"/>
    <cellStyle name="Pourcentage 3 2 2 9" xfId="1047"/>
    <cellStyle name="Pourcentage 3 2 2 9 2" xfId="3340"/>
    <cellStyle name="Pourcentage 3 2 2 9 3" xfId="5560"/>
    <cellStyle name="Pourcentage 3 2 3" xfId="54"/>
    <cellStyle name="Pourcentage 3 2 3 10" xfId="4666"/>
    <cellStyle name="Pourcentage 3 2 3 11" xfId="6994"/>
    <cellStyle name="Pourcentage 3 2 3 12" xfId="7180"/>
    <cellStyle name="Pourcentage 3 2 3 2" xfId="136"/>
    <cellStyle name="Pourcentage 3 2 3 2 10" xfId="6995"/>
    <cellStyle name="Pourcentage 3 2 3 2 11" xfId="7181"/>
    <cellStyle name="Pourcentage 3 2 3 2 2" xfId="391"/>
    <cellStyle name="Pourcentage 3 2 3 2 2 2" xfId="2342"/>
    <cellStyle name="Pourcentage 3 2 3 2 2 2 2" xfId="4548"/>
    <cellStyle name="Pourcentage 3 2 3 2 2 2 3" xfId="6768"/>
    <cellStyle name="Pourcentage 3 2 3 2 2 3" xfId="1318"/>
    <cellStyle name="Pourcentage 3 2 3 2 2 3 2" xfId="3606"/>
    <cellStyle name="Pourcentage 3 2 3 2 2 3 3" xfId="5826"/>
    <cellStyle name="Pourcentage 3 2 3 2 2 4" xfId="2703"/>
    <cellStyle name="Pourcentage 3 2 3 2 2 5" xfId="4923"/>
    <cellStyle name="Pourcentage 3 2 3 2 3" xfId="592"/>
    <cellStyle name="Pourcentage 3 2 3 2 3 2" xfId="1505"/>
    <cellStyle name="Pourcentage 3 2 3 2 3 2 2" xfId="3793"/>
    <cellStyle name="Pourcentage 3 2 3 2 3 2 3" xfId="6013"/>
    <cellStyle name="Pourcentage 3 2 3 2 3 3" xfId="2890"/>
    <cellStyle name="Pourcentage 3 2 3 2 3 4" xfId="5110"/>
    <cellStyle name="Pourcentage 3 2 3 2 4" xfId="782"/>
    <cellStyle name="Pourcentage 3 2 3 2 4 2" xfId="1693"/>
    <cellStyle name="Pourcentage 3 2 3 2 4 2 2" xfId="3981"/>
    <cellStyle name="Pourcentage 3 2 3 2 4 2 3" xfId="6201"/>
    <cellStyle name="Pourcentage 3 2 3 2 4 3" xfId="3078"/>
    <cellStyle name="Pourcentage 3 2 3 2 4 4" xfId="5298"/>
    <cellStyle name="Pourcentage 3 2 3 2 5" xfId="967"/>
    <cellStyle name="Pourcentage 3 2 3 2 5 2" xfId="1878"/>
    <cellStyle name="Pourcentage 3 2 3 2 5 2 2" xfId="4166"/>
    <cellStyle name="Pourcentage 3 2 3 2 5 2 3" xfId="6386"/>
    <cellStyle name="Pourcentage 3 2 3 2 5 3" xfId="3263"/>
    <cellStyle name="Pourcentage 3 2 3 2 5 4" xfId="5483"/>
    <cellStyle name="Pourcentage 3 2 3 2 6" xfId="2143"/>
    <cellStyle name="Pourcentage 3 2 3 2 6 2" xfId="4428"/>
    <cellStyle name="Pourcentage 3 2 3 2 6 3" xfId="6648"/>
    <cellStyle name="Pourcentage 3 2 3 2 7" xfId="1140"/>
    <cellStyle name="Pourcentage 3 2 3 2 7 2" xfId="3431"/>
    <cellStyle name="Pourcentage 3 2 3 2 7 3" xfId="5651"/>
    <cellStyle name="Pourcentage 3 2 3 2 8" xfId="2528"/>
    <cellStyle name="Pourcentage 3 2 3 2 9" xfId="4747"/>
    <cellStyle name="Pourcentage 3 2 3 3" xfId="390"/>
    <cellStyle name="Pourcentage 3 2 3 3 2" xfId="1929"/>
    <cellStyle name="Pourcentage 3 2 3 3 2 2" xfId="4217"/>
    <cellStyle name="Pourcentage 3 2 3 3 2 3" xfId="6437"/>
    <cellStyle name="Pourcentage 3 2 3 3 3" xfId="1317"/>
    <cellStyle name="Pourcentage 3 2 3 3 3 2" xfId="3605"/>
    <cellStyle name="Pourcentage 3 2 3 3 3 3" xfId="5825"/>
    <cellStyle name="Pourcentage 3 2 3 3 4" xfId="2702"/>
    <cellStyle name="Pourcentage 3 2 3 3 5" xfId="4922"/>
    <cellStyle name="Pourcentage 3 2 3 4" xfId="591"/>
    <cellStyle name="Pourcentage 3 2 3 4 2" xfId="1504"/>
    <cellStyle name="Pourcentage 3 2 3 4 2 2" xfId="3792"/>
    <cellStyle name="Pourcentage 3 2 3 4 2 3" xfId="6012"/>
    <cellStyle name="Pourcentage 3 2 3 4 3" xfId="2889"/>
    <cellStyle name="Pourcentage 3 2 3 4 4" xfId="5109"/>
    <cellStyle name="Pourcentage 3 2 3 5" xfId="781"/>
    <cellStyle name="Pourcentage 3 2 3 5 2" xfId="1692"/>
    <cellStyle name="Pourcentage 3 2 3 5 2 2" xfId="3980"/>
    <cellStyle name="Pourcentage 3 2 3 5 2 3" xfId="6200"/>
    <cellStyle name="Pourcentage 3 2 3 5 3" xfId="3077"/>
    <cellStyle name="Pourcentage 3 2 3 5 4" xfId="5297"/>
    <cellStyle name="Pourcentage 3 2 3 6" xfId="966"/>
    <cellStyle name="Pourcentage 3 2 3 6 2" xfId="1877"/>
    <cellStyle name="Pourcentage 3 2 3 6 2 2" xfId="4165"/>
    <cellStyle name="Pourcentage 3 2 3 6 2 3" xfId="6385"/>
    <cellStyle name="Pourcentage 3 2 3 6 3" xfId="3262"/>
    <cellStyle name="Pourcentage 3 2 3 6 4" xfId="5482"/>
    <cellStyle name="Pourcentage 3 2 3 7" xfId="2142"/>
    <cellStyle name="Pourcentage 3 2 3 7 2" xfId="4427"/>
    <cellStyle name="Pourcentage 3 2 3 7 3" xfId="6647"/>
    <cellStyle name="Pourcentage 3 2 3 8" xfId="1060"/>
    <cellStyle name="Pourcentage 3 2 3 8 2" xfId="3352"/>
    <cellStyle name="Pourcentage 3 2 3 8 3" xfId="5572"/>
    <cellStyle name="Pourcentage 3 2 3 9" xfId="2449"/>
    <cellStyle name="Pourcentage 3 2 4" xfId="66"/>
    <cellStyle name="Pourcentage 3 2 4 10" xfId="4678"/>
    <cellStyle name="Pourcentage 3 2 4 11" xfId="6996"/>
    <cellStyle name="Pourcentage 3 2 4 12" xfId="7182"/>
    <cellStyle name="Pourcentage 3 2 4 2" xfId="148"/>
    <cellStyle name="Pourcentage 3 2 4 2 10" xfId="6997"/>
    <cellStyle name="Pourcentage 3 2 4 2 11" xfId="7183"/>
    <cellStyle name="Pourcentage 3 2 4 2 2" xfId="393"/>
    <cellStyle name="Pourcentage 3 2 4 2 2 2" xfId="2343"/>
    <cellStyle name="Pourcentage 3 2 4 2 2 2 2" xfId="4549"/>
    <cellStyle name="Pourcentage 3 2 4 2 2 2 3" xfId="6769"/>
    <cellStyle name="Pourcentage 3 2 4 2 2 3" xfId="1320"/>
    <cellStyle name="Pourcentage 3 2 4 2 2 3 2" xfId="3608"/>
    <cellStyle name="Pourcentage 3 2 4 2 2 3 3" xfId="5828"/>
    <cellStyle name="Pourcentage 3 2 4 2 2 4" xfId="2705"/>
    <cellStyle name="Pourcentage 3 2 4 2 2 5" xfId="4925"/>
    <cellStyle name="Pourcentage 3 2 4 2 3" xfId="594"/>
    <cellStyle name="Pourcentage 3 2 4 2 3 2" xfId="1507"/>
    <cellStyle name="Pourcentage 3 2 4 2 3 2 2" xfId="3795"/>
    <cellStyle name="Pourcentage 3 2 4 2 3 2 3" xfId="6015"/>
    <cellStyle name="Pourcentage 3 2 4 2 3 3" xfId="2892"/>
    <cellStyle name="Pourcentage 3 2 4 2 3 4" xfId="5112"/>
    <cellStyle name="Pourcentage 3 2 4 2 4" xfId="784"/>
    <cellStyle name="Pourcentage 3 2 4 2 4 2" xfId="1695"/>
    <cellStyle name="Pourcentage 3 2 4 2 4 2 2" xfId="3983"/>
    <cellStyle name="Pourcentage 3 2 4 2 4 2 3" xfId="6203"/>
    <cellStyle name="Pourcentage 3 2 4 2 4 3" xfId="3080"/>
    <cellStyle name="Pourcentage 3 2 4 2 4 4" xfId="5300"/>
    <cellStyle name="Pourcentage 3 2 4 2 5" xfId="969"/>
    <cellStyle name="Pourcentage 3 2 4 2 5 2" xfId="1880"/>
    <cellStyle name="Pourcentage 3 2 4 2 5 2 2" xfId="4168"/>
    <cellStyle name="Pourcentage 3 2 4 2 5 2 3" xfId="6388"/>
    <cellStyle name="Pourcentage 3 2 4 2 5 3" xfId="3265"/>
    <cellStyle name="Pourcentage 3 2 4 2 5 4" xfId="5485"/>
    <cellStyle name="Pourcentage 3 2 4 2 6" xfId="2145"/>
    <cellStyle name="Pourcentage 3 2 4 2 6 2" xfId="4430"/>
    <cellStyle name="Pourcentage 3 2 4 2 6 3" xfId="6650"/>
    <cellStyle name="Pourcentage 3 2 4 2 7" xfId="1152"/>
    <cellStyle name="Pourcentage 3 2 4 2 7 2" xfId="3443"/>
    <cellStyle name="Pourcentage 3 2 4 2 7 3" xfId="5663"/>
    <cellStyle name="Pourcentage 3 2 4 2 8" xfId="2540"/>
    <cellStyle name="Pourcentage 3 2 4 2 9" xfId="4759"/>
    <cellStyle name="Pourcentage 3 2 4 3" xfId="392"/>
    <cellStyle name="Pourcentage 3 2 4 3 2" xfId="1965"/>
    <cellStyle name="Pourcentage 3 2 4 3 2 2" xfId="4251"/>
    <cellStyle name="Pourcentage 3 2 4 3 2 3" xfId="6471"/>
    <cellStyle name="Pourcentage 3 2 4 3 3" xfId="1319"/>
    <cellStyle name="Pourcentage 3 2 4 3 3 2" xfId="3607"/>
    <cellStyle name="Pourcentage 3 2 4 3 3 3" xfId="5827"/>
    <cellStyle name="Pourcentage 3 2 4 3 4" xfId="2704"/>
    <cellStyle name="Pourcentage 3 2 4 3 5" xfId="4924"/>
    <cellStyle name="Pourcentage 3 2 4 4" xfId="593"/>
    <cellStyle name="Pourcentage 3 2 4 4 2" xfId="1506"/>
    <cellStyle name="Pourcentage 3 2 4 4 2 2" xfId="3794"/>
    <cellStyle name="Pourcentage 3 2 4 4 2 3" xfId="6014"/>
    <cellStyle name="Pourcentage 3 2 4 4 3" xfId="2891"/>
    <cellStyle name="Pourcentage 3 2 4 4 4" xfId="5111"/>
    <cellStyle name="Pourcentage 3 2 4 5" xfId="783"/>
    <cellStyle name="Pourcentage 3 2 4 5 2" xfId="1694"/>
    <cellStyle name="Pourcentage 3 2 4 5 2 2" xfId="3982"/>
    <cellStyle name="Pourcentage 3 2 4 5 2 3" xfId="6202"/>
    <cellStyle name="Pourcentage 3 2 4 5 3" xfId="3079"/>
    <cellStyle name="Pourcentage 3 2 4 5 4" xfId="5299"/>
    <cellStyle name="Pourcentage 3 2 4 6" xfId="968"/>
    <cellStyle name="Pourcentage 3 2 4 6 2" xfId="1879"/>
    <cellStyle name="Pourcentage 3 2 4 6 2 2" xfId="4167"/>
    <cellStyle name="Pourcentage 3 2 4 6 2 3" xfId="6387"/>
    <cellStyle name="Pourcentage 3 2 4 6 3" xfId="3264"/>
    <cellStyle name="Pourcentage 3 2 4 6 4" xfId="5484"/>
    <cellStyle name="Pourcentage 3 2 4 7" xfId="2144"/>
    <cellStyle name="Pourcentage 3 2 4 7 2" xfId="4429"/>
    <cellStyle name="Pourcentage 3 2 4 7 3" xfId="6649"/>
    <cellStyle name="Pourcentage 3 2 4 8" xfId="1072"/>
    <cellStyle name="Pourcentage 3 2 4 8 2" xfId="3364"/>
    <cellStyle name="Pourcentage 3 2 4 8 3" xfId="5584"/>
    <cellStyle name="Pourcentage 3 2 4 9" xfId="2461"/>
    <cellStyle name="Pourcentage 3 2 5" xfId="78"/>
    <cellStyle name="Pourcentage 3 2 5 10" xfId="4690"/>
    <cellStyle name="Pourcentage 3 2 5 11" xfId="6998"/>
    <cellStyle name="Pourcentage 3 2 5 12" xfId="7184"/>
    <cellStyle name="Pourcentage 3 2 5 2" xfId="160"/>
    <cellStyle name="Pourcentage 3 2 5 2 10" xfId="6999"/>
    <cellStyle name="Pourcentage 3 2 5 2 11" xfId="7185"/>
    <cellStyle name="Pourcentage 3 2 5 2 2" xfId="395"/>
    <cellStyle name="Pourcentage 3 2 5 2 2 2" xfId="2344"/>
    <cellStyle name="Pourcentage 3 2 5 2 2 2 2" xfId="4550"/>
    <cellStyle name="Pourcentage 3 2 5 2 2 2 3" xfId="6770"/>
    <cellStyle name="Pourcentage 3 2 5 2 2 3" xfId="1322"/>
    <cellStyle name="Pourcentage 3 2 5 2 2 3 2" xfId="3610"/>
    <cellStyle name="Pourcentage 3 2 5 2 2 3 3" xfId="5830"/>
    <cellStyle name="Pourcentage 3 2 5 2 2 4" xfId="2707"/>
    <cellStyle name="Pourcentage 3 2 5 2 2 5" xfId="4927"/>
    <cellStyle name="Pourcentage 3 2 5 2 3" xfId="596"/>
    <cellStyle name="Pourcentage 3 2 5 2 3 2" xfId="1509"/>
    <cellStyle name="Pourcentage 3 2 5 2 3 2 2" xfId="3797"/>
    <cellStyle name="Pourcentage 3 2 5 2 3 2 3" xfId="6017"/>
    <cellStyle name="Pourcentage 3 2 5 2 3 3" xfId="2894"/>
    <cellStyle name="Pourcentage 3 2 5 2 3 4" xfId="5114"/>
    <cellStyle name="Pourcentage 3 2 5 2 4" xfId="786"/>
    <cellStyle name="Pourcentage 3 2 5 2 4 2" xfId="1697"/>
    <cellStyle name="Pourcentage 3 2 5 2 4 2 2" xfId="3985"/>
    <cellStyle name="Pourcentage 3 2 5 2 4 2 3" xfId="6205"/>
    <cellStyle name="Pourcentage 3 2 5 2 4 3" xfId="3082"/>
    <cellStyle name="Pourcentage 3 2 5 2 4 4" xfId="5302"/>
    <cellStyle name="Pourcentage 3 2 5 2 5" xfId="971"/>
    <cellStyle name="Pourcentage 3 2 5 2 5 2" xfId="1882"/>
    <cellStyle name="Pourcentage 3 2 5 2 5 2 2" xfId="4170"/>
    <cellStyle name="Pourcentage 3 2 5 2 5 2 3" xfId="6390"/>
    <cellStyle name="Pourcentage 3 2 5 2 5 3" xfId="3267"/>
    <cellStyle name="Pourcentage 3 2 5 2 5 4" xfId="5487"/>
    <cellStyle name="Pourcentage 3 2 5 2 6" xfId="2147"/>
    <cellStyle name="Pourcentage 3 2 5 2 6 2" xfId="4432"/>
    <cellStyle name="Pourcentage 3 2 5 2 6 3" xfId="6652"/>
    <cellStyle name="Pourcentage 3 2 5 2 7" xfId="1164"/>
    <cellStyle name="Pourcentage 3 2 5 2 7 2" xfId="3455"/>
    <cellStyle name="Pourcentage 3 2 5 2 7 3" xfId="5675"/>
    <cellStyle name="Pourcentage 3 2 5 2 8" xfId="2552"/>
    <cellStyle name="Pourcentage 3 2 5 2 9" xfId="4771"/>
    <cellStyle name="Pourcentage 3 2 5 3" xfId="394"/>
    <cellStyle name="Pourcentage 3 2 5 3 2" xfId="1935"/>
    <cellStyle name="Pourcentage 3 2 5 3 2 2" xfId="4223"/>
    <cellStyle name="Pourcentage 3 2 5 3 2 3" xfId="6443"/>
    <cellStyle name="Pourcentage 3 2 5 3 3" xfId="1321"/>
    <cellStyle name="Pourcentage 3 2 5 3 3 2" xfId="3609"/>
    <cellStyle name="Pourcentage 3 2 5 3 3 3" xfId="5829"/>
    <cellStyle name="Pourcentage 3 2 5 3 4" xfId="2706"/>
    <cellStyle name="Pourcentage 3 2 5 3 5" xfId="4926"/>
    <cellStyle name="Pourcentage 3 2 5 4" xfId="595"/>
    <cellStyle name="Pourcentage 3 2 5 4 2" xfId="1508"/>
    <cellStyle name="Pourcentage 3 2 5 4 2 2" xfId="3796"/>
    <cellStyle name="Pourcentage 3 2 5 4 2 3" xfId="6016"/>
    <cellStyle name="Pourcentage 3 2 5 4 3" xfId="2893"/>
    <cellStyle name="Pourcentage 3 2 5 4 4" xfId="5113"/>
    <cellStyle name="Pourcentage 3 2 5 5" xfId="785"/>
    <cellStyle name="Pourcentage 3 2 5 5 2" xfId="1696"/>
    <cellStyle name="Pourcentage 3 2 5 5 2 2" xfId="3984"/>
    <cellStyle name="Pourcentage 3 2 5 5 2 3" xfId="6204"/>
    <cellStyle name="Pourcentage 3 2 5 5 3" xfId="3081"/>
    <cellStyle name="Pourcentage 3 2 5 5 4" xfId="5301"/>
    <cellStyle name="Pourcentage 3 2 5 6" xfId="970"/>
    <cellStyle name="Pourcentage 3 2 5 6 2" xfId="1881"/>
    <cellStyle name="Pourcentage 3 2 5 6 2 2" xfId="4169"/>
    <cellStyle name="Pourcentage 3 2 5 6 2 3" xfId="6389"/>
    <cellStyle name="Pourcentage 3 2 5 6 3" xfId="3266"/>
    <cellStyle name="Pourcentage 3 2 5 6 4" xfId="5486"/>
    <cellStyle name="Pourcentage 3 2 5 7" xfId="2146"/>
    <cellStyle name="Pourcentage 3 2 5 7 2" xfId="4431"/>
    <cellStyle name="Pourcentage 3 2 5 7 3" xfId="6651"/>
    <cellStyle name="Pourcentage 3 2 5 8" xfId="1084"/>
    <cellStyle name="Pourcentage 3 2 5 8 2" xfId="3376"/>
    <cellStyle name="Pourcentage 3 2 5 8 3" xfId="5596"/>
    <cellStyle name="Pourcentage 3 2 5 9" xfId="2473"/>
    <cellStyle name="Pourcentage 3 2 6" xfId="90"/>
    <cellStyle name="Pourcentage 3 2 6 10" xfId="4702"/>
    <cellStyle name="Pourcentage 3 2 6 11" xfId="7000"/>
    <cellStyle name="Pourcentage 3 2 6 12" xfId="7186"/>
    <cellStyle name="Pourcentage 3 2 6 2" xfId="172"/>
    <cellStyle name="Pourcentage 3 2 6 2 10" xfId="7001"/>
    <cellStyle name="Pourcentage 3 2 6 2 11" xfId="7187"/>
    <cellStyle name="Pourcentage 3 2 6 2 2" xfId="397"/>
    <cellStyle name="Pourcentage 3 2 6 2 2 2" xfId="2345"/>
    <cellStyle name="Pourcentage 3 2 6 2 2 2 2" xfId="4551"/>
    <cellStyle name="Pourcentage 3 2 6 2 2 2 3" xfId="6771"/>
    <cellStyle name="Pourcentage 3 2 6 2 2 3" xfId="1324"/>
    <cellStyle name="Pourcentage 3 2 6 2 2 3 2" xfId="3612"/>
    <cellStyle name="Pourcentage 3 2 6 2 2 3 3" xfId="5832"/>
    <cellStyle name="Pourcentage 3 2 6 2 2 4" xfId="2709"/>
    <cellStyle name="Pourcentage 3 2 6 2 2 5" xfId="4929"/>
    <cellStyle name="Pourcentage 3 2 6 2 3" xfId="598"/>
    <cellStyle name="Pourcentage 3 2 6 2 3 2" xfId="1511"/>
    <cellStyle name="Pourcentage 3 2 6 2 3 2 2" xfId="3799"/>
    <cellStyle name="Pourcentage 3 2 6 2 3 2 3" xfId="6019"/>
    <cellStyle name="Pourcentage 3 2 6 2 3 3" xfId="2896"/>
    <cellStyle name="Pourcentage 3 2 6 2 3 4" xfId="5116"/>
    <cellStyle name="Pourcentage 3 2 6 2 4" xfId="788"/>
    <cellStyle name="Pourcentage 3 2 6 2 4 2" xfId="1699"/>
    <cellStyle name="Pourcentage 3 2 6 2 4 2 2" xfId="3987"/>
    <cellStyle name="Pourcentage 3 2 6 2 4 2 3" xfId="6207"/>
    <cellStyle name="Pourcentage 3 2 6 2 4 3" xfId="3084"/>
    <cellStyle name="Pourcentage 3 2 6 2 4 4" xfId="5304"/>
    <cellStyle name="Pourcentage 3 2 6 2 5" xfId="973"/>
    <cellStyle name="Pourcentage 3 2 6 2 5 2" xfId="1884"/>
    <cellStyle name="Pourcentage 3 2 6 2 5 2 2" xfId="4172"/>
    <cellStyle name="Pourcentage 3 2 6 2 5 2 3" xfId="6392"/>
    <cellStyle name="Pourcentage 3 2 6 2 5 3" xfId="3269"/>
    <cellStyle name="Pourcentage 3 2 6 2 5 4" xfId="5489"/>
    <cellStyle name="Pourcentage 3 2 6 2 6" xfId="2149"/>
    <cellStyle name="Pourcentage 3 2 6 2 6 2" xfId="4434"/>
    <cellStyle name="Pourcentage 3 2 6 2 6 3" xfId="6654"/>
    <cellStyle name="Pourcentage 3 2 6 2 7" xfId="1176"/>
    <cellStyle name="Pourcentage 3 2 6 2 7 2" xfId="3467"/>
    <cellStyle name="Pourcentage 3 2 6 2 7 3" xfId="5687"/>
    <cellStyle name="Pourcentage 3 2 6 2 8" xfId="2564"/>
    <cellStyle name="Pourcentage 3 2 6 2 9" xfId="4783"/>
    <cellStyle name="Pourcentage 3 2 6 3" xfId="396"/>
    <cellStyle name="Pourcentage 3 2 6 3 2" xfId="1962"/>
    <cellStyle name="Pourcentage 3 2 6 3 2 2" xfId="4248"/>
    <cellStyle name="Pourcentage 3 2 6 3 2 3" xfId="6468"/>
    <cellStyle name="Pourcentage 3 2 6 3 3" xfId="1323"/>
    <cellStyle name="Pourcentage 3 2 6 3 3 2" xfId="3611"/>
    <cellStyle name="Pourcentage 3 2 6 3 3 3" xfId="5831"/>
    <cellStyle name="Pourcentage 3 2 6 3 4" xfId="2708"/>
    <cellStyle name="Pourcentage 3 2 6 3 5" xfId="4928"/>
    <cellStyle name="Pourcentage 3 2 6 4" xfId="597"/>
    <cellStyle name="Pourcentage 3 2 6 4 2" xfId="1510"/>
    <cellStyle name="Pourcentage 3 2 6 4 2 2" xfId="3798"/>
    <cellStyle name="Pourcentage 3 2 6 4 2 3" xfId="6018"/>
    <cellStyle name="Pourcentage 3 2 6 4 3" xfId="2895"/>
    <cellStyle name="Pourcentage 3 2 6 4 4" xfId="5115"/>
    <cellStyle name="Pourcentage 3 2 6 5" xfId="787"/>
    <cellStyle name="Pourcentage 3 2 6 5 2" xfId="1698"/>
    <cellStyle name="Pourcentage 3 2 6 5 2 2" xfId="3986"/>
    <cellStyle name="Pourcentage 3 2 6 5 2 3" xfId="6206"/>
    <cellStyle name="Pourcentage 3 2 6 5 3" xfId="3083"/>
    <cellStyle name="Pourcentage 3 2 6 5 4" xfId="5303"/>
    <cellStyle name="Pourcentage 3 2 6 6" xfId="972"/>
    <cellStyle name="Pourcentage 3 2 6 6 2" xfId="1883"/>
    <cellStyle name="Pourcentage 3 2 6 6 2 2" xfId="4171"/>
    <cellStyle name="Pourcentage 3 2 6 6 2 3" xfId="6391"/>
    <cellStyle name="Pourcentage 3 2 6 6 3" xfId="3268"/>
    <cellStyle name="Pourcentage 3 2 6 6 4" xfId="5488"/>
    <cellStyle name="Pourcentage 3 2 6 7" xfId="2148"/>
    <cellStyle name="Pourcentage 3 2 6 7 2" xfId="4433"/>
    <cellStyle name="Pourcentage 3 2 6 7 3" xfId="6653"/>
    <cellStyle name="Pourcentage 3 2 6 8" xfId="1096"/>
    <cellStyle name="Pourcentage 3 2 6 8 2" xfId="3388"/>
    <cellStyle name="Pourcentage 3 2 6 8 3" xfId="5608"/>
    <cellStyle name="Pourcentage 3 2 6 9" xfId="2485"/>
    <cellStyle name="Pourcentage 3 2 7" xfId="113"/>
    <cellStyle name="Pourcentage 3 2 7 10" xfId="7002"/>
    <cellStyle name="Pourcentage 3 2 7 11" xfId="7188"/>
    <cellStyle name="Pourcentage 3 2 7 2" xfId="398"/>
    <cellStyle name="Pourcentage 3 2 7 2 2" xfId="1946"/>
    <cellStyle name="Pourcentage 3 2 7 2 2 2" xfId="4233"/>
    <cellStyle name="Pourcentage 3 2 7 2 2 3" xfId="6453"/>
    <cellStyle name="Pourcentage 3 2 7 2 3" xfId="1325"/>
    <cellStyle name="Pourcentage 3 2 7 2 3 2" xfId="3613"/>
    <cellStyle name="Pourcentage 3 2 7 2 3 3" xfId="5833"/>
    <cellStyle name="Pourcentage 3 2 7 2 4" xfId="2710"/>
    <cellStyle name="Pourcentage 3 2 7 2 5" xfId="4930"/>
    <cellStyle name="Pourcentage 3 2 7 3" xfId="599"/>
    <cellStyle name="Pourcentage 3 2 7 3 2" xfId="1512"/>
    <cellStyle name="Pourcentage 3 2 7 3 2 2" xfId="3800"/>
    <cellStyle name="Pourcentage 3 2 7 3 2 3" xfId="6020"/>
    <cellStyle name="Pourcentage 3 2 7 3 3" xfId="2897"/>
    <cellStyle name="Pourcentage 3 2 7 3 4" xfId="5117"/>
    <cellStyle name="Pourcentage 3 2 7 4" xfId="789"/>
    <cellStyle name="Pourcentage 3 2 7 4 2" xfId="1700"/>
    <cellStyle name="Pourcentage 3 2 7 4 2 2" xfId="3988"/>
    <cellStyle name="Pourcentage 3 2 7 4 2 3" xfId="6208"/>
    <cellStyle name="Pourcentage 3 2 7 4 3" xfId="3085"/>
    <cellStyle name="Pourcentage 3 2 7 4 4" xfId="5305"/>
    <cellStyle name="Pourcentage 3 2 7 5" xfId="974"/>
    <cellStyle name="Pourcentage 3 2 7 5 2" xfId="1885"/>
    <cellStyle name="Pourcentage 3 2 7 5 2 2" xfId="4173"/>
    <cellStyle name="Pourcentage 3 2 7 5 2 3" xfId="6393"/>
    <cellStyle name="Pourcentage 3 2 7 5 3" xfId="3270"/>
    <cellStyle name="Pourcentage 3 2 7 5 4" xfId="5490"/>
    <cellStyle name="Pourcentage 3 2 7 6" xfId="2150"/>
    <cellStyle name="Pourcentage 3 2 7 6 2" xfId="4435"/>
    <cellStyle name="Pourcentage 3 2 7 6 3" xfId="6655"/>
    <cellStyle name="Pourcentage 3 2 7 7" xfId="1117"/>
    <cellStyle name="Pourcentage 3 2 7 7 2" xfId="3408"/>
    <cellStyle name="Pourcentage 3 2 7 7 3" xfId="5628"/>
    <cellStyle name="Pourcentage 3 2 7 8" xfId="2505"/>
    <cellStyle name="Pourcentage 3 2 7 9" xfId="4724"/>
    <cellStyle name="Pourcentage 3 2 8" xfId="385"/>
    <cellStyle name="Pourcentage 3 2 8 2" xfId="1949"/>
    <cellStyle name="Pourcentage 3 2 8 2 2" xfId="4236"/>
    <cellStyle name="Pourcentage 3 2 8 2 3" xfId="6456"/>
    <cellStyle name="Pourcentage 3 2 8 3" xfId="1312"/>
    <cellStyle name="Pourcentage 3 2 8 3 2" xfId="3600"/>
    <cellStyle name="Pourcentage 3 2 8 3 3" xfId="5820"/>
    <cellStyle name="Pourcentage 3 2 8 4" xfId="2697"/>
    <cellStyle name="Pourcentage 3 2 8 5" xfId="4917"/>
    <cellStyle name="Pourcentage 3 2 9" xfId="586"/>
    <cellStyle name="Pourcentage 3 2 9 2" xfId="1499"/>
    <cellStyle name="Pourcentage 3 2 9 2 2" xfId="3787"/>
    <cellStyle name="Pourcentage 3 2 9 2 3" xfId="6007"/>
    <cellStyle name="Pourcentage 3 2 9 3" xfId="2884"/>
    <cellStyle name="Pourcentage 3 2 9 4" xfId="5104"/>
    <cellStyle name="Pourcentage 3 3" xfId="42"/>
    <cellStyle name="Pourcentage 3 3 10" xfId="975"/>
    <cellStyle name="Pourcentage 3 3 10 2" xfId="1886"/>
    <cellStyle name="Pourcentage 3 3 10 2 2" xfId="4174"/>
    <cellStyle name="Pourcentage 3 3 10 2 3" xfId="6394"/>
    <cellStyle name="Pourcentage 3 3 10 3" xfId="3271"/>
    <cellStyle name="Pourcentage 3 3 10 4" xfId="5491"/>
    <cellStyle name="Pourcentage 3 3 11" xfId="2151"/>
    <cellStyle name="Pourcentage 3 3 11 2" xfId="4436"/>
    <cellStyle name="Pourcentage 3 3 11 3" xfId="6656"/>
    <cellStyle name="Pourcentage 3 3 12" xfId="1049"/>
    <cellStyle name="Pourcentage 3 3 12 2" xfId="3341"/>
    <cellStyle name="Pourcentage 3 3 12 3" xfId="5561"/>
    <cellStyle name="Pourcentage 3 3 13" xfId="2438"/>
    <cellStyle name="Pourcentage 3 3 14" xfId="4655"/>
    <cellStyle name="Pourcentage 3 3 15" xfId="7003"/>
    <cellStyle name="Pourcentage 3 3 16" xfId="7189"/>
    <cellStyle name="Pourcentage 3 3 2" xfId="55"/>
    <cellStyle name="Pourcentage 3 3 2 10" xfId="4667"/>
    <cellStyle name="Pourcentage 3 3 2 11" xfId="7004"/>
    <cellStyle name="Pourcentage 3 3 2 12" xfId="7190"/>
    <cellStyle name="Pourcentage 3 3 2 2" xfId="137"/>
    <cellStyle name="Pourcentage 3 3 2 2 10" xfId="7005"/>
    <cellStyle name="Pourcentage 3 3 2 2 11" xfId="7191"/>
    <cellStyle name="Pourcentage 3 3 2 2 2" xfId="401"/>
    <cellStyle name="Pourcentage 3 3 2 2 2 2" xfId="2346"/>
    <cellStyle name="Pourcentage 3 3 2 2 2 2 2" xfId="4552"/>
    <cellStyle name="Pourcentage 3 3 2 2 2 2 3" xfId="6772"/>
    <cellStyle name="Pourcentage 3 3 2 2 2 3" xfId="1328"/>
    <cellStyle name="Pourcentage 3 3 2 2 2 3 2" xfId="3616"/>
    <cellStyle name="Pourcentage 3 3 2 2 2 3 3" xfId="5836"/>
    <cellStyle name="Pourcentage 3 3 2 2 2 4" xfId="2713"/>
    <cellStyle name="Pourcentage 3 3 2 2 2 5" xfId="4933"/>
    <cellStyle name="Pourcentage 3 3 2 2 3" xfId="602"/>
    <cellStyle name="Pourcentage 3 3 2 2 3 2" xfId="1515"/>
    <cellStyle name="Pourcentage 3 3 2 2 3 2 2" xfId="3803"/>
    <cellStyle name="Pourcentage 3 3 2 2 3 2 3" xfId="6023"/>
    <cellStyle name="Pourcentage 3 3 2 2 3 3" xfId="2900"/>
    <cellStyle name="Pourcentage 3 3 2 2 3 4" xfId="5120"/>
    <cellStyle name="Pourcentage 3 3 2 2 4" xfId="792"/>
    <cellStyle name="Pourcentage 3 3 2 2 4 2" xfId="1703"/>
    <cellStyle name="Pourcentage 3 3 2 2 4 2 2" xfId="3991"/>
    <cellStyle name="Pourcentage 3 3 2 2 4 2 3" xfId="6211"/>
    <cellStyle name="Pourcentage 3 3 2 2 4 3" xfId="3088"/>
    <cellStyle name="Pourcentage 3 3 2 2 4 4" xfId="5308"/>
    <cellStyle name="Pourcentage 3 3 2 2 5" xfId="977"/>
    <cellStyle name="Pourcentage 3 3 2 2 5 2" xfId="1888"/>
    <cellStyle name="Pourcentage 3 3 2 2 5 2 2" xfId="4176"/>
    <cellStyle name="Pourcentage 3 3 2 2 5 2 3" xfId="6396"/>
    <cellStyle name="Pourcentage 3 3 2 2 5 3" xfId="3273"/>
    <cellStyle name="Pourcentage 3 3 2 2 5 4" xfId="5493"/>
    <cellStyle name="Pourcentage 3 3 2 2 6" xfId="2153"/>
    <cellStyle name="Pourcentage 3 3 2 2 6 2" xfId="4438"/>
    <cellStyle name="Pourcentage 3 3 2 2 6 3" xfId="6658"/>
    <cellStyle name="Pourcentage 3 3 2 2 7" xfId="1141"/>
    <cellStyle name="Pourcentage 3 3 2 2 7 2" xfId="3432"/>
    <cellStyle name="Pourcentage 3 3 2 2 7 3" xfId="5652"/>
    <cellStyle name="Pourcentage 3 3 2 2 8" xfId="2529"/>
    <cellStyle name="Pourcentage 3 3 2 2 9" xfId="4748"/>
    <cellStyle name="Pourcentage 3 3 2 3" xfId="400"/>
    <cellStyle name="Pourcentage 3 3 2 3 2" xfId="1986"/>
    <cellStyle name="Pourcentage 3 3 2 3 2 2" xfId="4272"/>
    <cellStyle name="Pourcentage 3 3 2 3 2 3" xfId="6492"/>
    <cellStyle name="Pourcentage 3 3 2 3 3" xfId="1327"/>
    <cellStyle name="Pourcentage 3 3 2 3 3 2" xfId="3615"/>
    <cellStyle name="Pourcentage 3 3 2 3 3 3" xfId="5835"/>
    <cellStyle name="Pourcentage 3 3 2 3 4" xfId="2712"/>
    <cellStyle name="Pourcentage 3 3 2 3 5" xfId="4932"/>
    <cellStyle name="Pourcentage 3 3 2 4" xfId="601"/>
    <cellStyle name="Pourcentage 3 3 2 4 2" xfId="1514"/>
    <cellStyle name="Pourcentage 3 3 2 4 2 2" xfId="3802"/>
    <cellStyle name="Pourcentage 3 3 2 4 2 3" xfId="6022"/>
    <cellStyle name="Pourcentage 3 3 2 4 3" xfId="2899"/>
    <cellStyle name="Pourcentage 3 3 2 4 4" xfId="5119"/>
    <cellStyle name="Pourcentage 3 3 2 5" xfId="791"/>
    <cellStyle name="Pourcentage 3 3 2 5 2" xfId="1702"/>
    <cellStyle name="Pourcentage 3 3 2 5 2 2" xfId="3990"/>
    <cellStyle name="Pourcentage 3 3 2 5 2 3" xfId="6210"/>
    <cellStyle name="Pourcentage 3 3 2 5 3" xfId="3087"/>
    <cellStyle name="Pourcentage 3 3 2 5 4" xfId="5307"/>
    <cellStyle name="Pourcentage 3 3 2 6" xfId="976"/>
    <cellStyle name="Pourcentage 3 3 2 6 2" xfId="1887"/>
    <cellStyle name="Pourcentage 3 3 2 6 2 2" xfId="4175"/>
    <cellStyle name="Pourcentage 3 3 2 6 2 3" xfId="6395"/>
    <cellStyle name="Pourcentage 3 3 2 6 3" xfId="3272"/>
    <cellStyle name="Pourcentage 3 3 2 6 4" xfId="5492"/>
    <cellStyle name="Pourcentage 3 3 2 7" xfId="2152"/>
    <cellStyle name="Pourcentage 3 3 2 7 2" xfId="4437"/>
    <cellStyle name="Pourcentage 3 3 2 7 3" xfId="6657"/>
    <cellStyle name="Pourcentage 3 3 2 8" xfId="1061"/>
    <cellStyle name="Pourcentage 3 3 2 8 2" xfId="3353"/>
    <cellStyle name="Pourcentage 3 3 2 8 3" xfId="5573"/>
    <cellStyle name="Pourcentage 3 3 2 9" xfId="2450"/>
    <cellStyle name="Pourcentage 3 3 3" xfId="67"/>
    <cellStyle name="Pourcentage 3 3 3 10" xfId="4679"/>
    <cellStyle name="Pourcentage 3 3 3 11" xfId="7006"/>
    <cellStyle name="Pourcentage 3 3 3 12" xfId="7192"/>
    <cellStyle name="Pourcentage 3 3 3 2" xfId="149"/>
    <cellStyle name="Pourcentage 3 3 3 2 10" xfId="7007"/>
    <cellStyle name="Pourcentage 3 3 3 2 11" xfId="7193"/>
    <cellStyle name="Pourcentage 3 3 3 2 2" xfId="403"/>
    <cellStyle name="Pourcentage 3 3 3 2 2 2" xfId="2347"/>
    <cellStyle name="Pourcentage 3 3 3 2 2 2 2" xfId="4553"/>
    <cellStyle name="Pourcentage 3 3 3 2 2 2 3" xfId="6773"/>
    <cellStyle name="Pourcentage 3 3 3 2 2 3" xfId="1330"/>
    <cellStyle name="Pourcentage 3 3 3 2 2 3 2" xfId="3618"/>
    <cellStyle name="Pourcentage 3 3 3 2 2 3 3" xfId="5838"/>
    <cellStyle name="Pourcentage 3 3 3 2 2 4" xfId="2715"/>
    <cellStyle name="Pourcentage 3 3 3 2 2 5" xfId="4935"/>
    <cellStyle name="Pourcentage 3 3 3 2 3" xfId="604"/>
    <cellStyle name="Pourcentage 3 3 3 2 3 2" xfId="1517"/>
    <cellStyle name="Pourcentage 3 3 3 2 3 2 2" xfId="3805"/>
    <cellStyle name="Pourcentage 3 3 3 2 3 2 3" xfId="6025"/>
    <cellStyle name="Pourcentage 3 3 3 2 3 3" xfId="2902"/>
    <cellStyle name="Pourcentage 3 3 3 2 3 4" xfId="5122"/>
    <cellStyle name="Pourcentage 3 3 3 2 4" xfId="794"/>
    <cellStyle name="Pourcentage 3 3 3 2 4 2" xfId="1705"/>
    <cellStyle name="Pourcentage 3 3 3 2 4 2 2" xfId="3993"/>
    <cellStyle name="Pourcentage 3 3 3 2 4 2 3" xfId="6213"/>
    <cellStyle name="Pourcentage 3 3 3 2 4 3" xfId="3090"/>
    <cellStyle name="Pourcentage 3 3 3 2 4 4" xfId="5310"/>
    <cellStyle name="Pourcentage 3 3 3 2 5" xfId="979"/>
    <cellStyle name="Pourcentage 3 3 3 2 5 2" xfId="1890"/>
    <cellStyle name="Pourcentage 3 3 3 2 5 2 2" xfId="4178"/>
    <cellStyle name="Pourcentage 3 3 3 2 5 2 3" xfId="6398"/>
    <cellStyle name="Pourcentage 3 3 3 2 5 3" xfId="3275"/>
    <cellStyle name="Pourcentage 3 3 3 2 5 4" xfId="5495"/>
    <cellStyle name="Pourcentage 3 3 3 2 6" xfId="2155"/>
    <cellStyle name="Pourcentage 3 3 3 2 6 2" xfId="4440"/>
    <cellStyle name="Pourcentage 3 3 3 2 6 3" xfId="6660"/>
    <cellStyle name="Pourcentage 3 3 3 2 7" xfId="1153"/>
    <cellStyle name="Pourcentage 3 3 3 2 7 2" xfId="3444"/>
    <cellStyle name="Pourcentage 3 3 3 2 7 3" xfId="5664"/>
    <cellStyle name="Pourcentage 3 3 3 2 8" xfId="2541"/>
    <cellStyle name="Pourcentage 3 3 3 2 9" xfId="4760"/>
    <cellStyle name="Pourcentage 3 3 3 3" xfId="402"/>
    <cellStyle name="Pourcentage 3 3 3 3 2" xfId="1954"/>
    <cellStyle name="Pourcentage 3 3 3 3 2 2" xfId="4241"/>
    <cellStyle name="Pourcentage 3 3 3 3 2 3" xfId="6461"/>
    <cellStyle name="Pourcentage 3 3 3 3 3" xfId="1329"/>
    <cellStyle name="Pourcentage 3 3 3 3 3 2" xfId="3617"/>
    <cellStyle name="Pourcentage 3 3 3 3 3 3" xfId="5837"/>
    <cellStyle name="Pourcentage 3 3 3 3 4" xfId="2714"/>
    <cellStyle name="Pourcentage 3 3 3 3 5" xfId="4934"/>
    <cellStyle name="Pourcentage 3 3 3 4" xfId="603"/>
    <cellStyle name="Pourcentage 3 3 3 4 2" xfId="1516"/>
    <cellStyle name="Pourcentage 3 3 3 4 2 2" xfId="3804"/>
    <cellStyle name="Pourcentage 3 3 3 4 2 3" xfId="6024"/>
    <cellStyle name="Pourcentage 3 3 3 4 3" xfId="2901"/>
    <cellStyle name="Pourcentage 3 3 3 4 4" xfId="5121"/>
    <cellStyle name="Pourcentage 3 3 3 5" xfId="793"/>
    <cellStyle name="Pourcentage 3 3 3 5 2" xfId="1704"/>
    <cellStyle name="Pourcentage 3 3 3 5 2 2" xfId="3992"/>
    <cellStyle name="Pourcentage 3 3 3 5 2 3" xfId="6212"/>
    <cellStyle name="Pourcentage 3 3 3 5 3" xfId="3089"/>
    <cellStyle name="Pourcentage 3 3 3 5 4" xfId="5309"/>
    <cellStyle name="Pourcentage 3 3 3 6" xfId="978"/>
    <cellStyle name="Pourcentage 3 3 3 6 2" xfId="1889"/>
    <cellStyle name="Pourcentage 3 3 3 6 2 2" xfId="4177"/>
    <cellStyle name="Pourcentage 3 3 3 6 2 3" xfId="6397"/>
    <cellStyle name="Pourcentage 3 3 3 6 3" xfId="3274"/>
    <cellStyle name="Pourcentage 3 3 3 6 4" xfId="5494"/>
    <cellStyle name="Pourcentage 3 3 3 7" xfId="2154"/>
    <cellStyle name="Pourcentage 3 3 3 7 2" xfId="4439"/>
    <cellStyle name="Pourcentage 3 3 3 7 3" xfId="6659"/>
    <cellStyle name="Pourcentage 3 3 3 8" xfId="1073"/>
    <cellStyle name="Pourcentage 3 3 3 8 2" xfId="3365"/>
    <cellStyle name="Pourcentage 3 3 3 8 3" xfId="5585"/>
    <cellStyle name="Pourcentage 3 3 3 9" xfId="2462"/>
    <cellStyle name="Pourcentage 3 3 4" xfId="79"/>
    <cellStyle name="Pourcentage 3 3 4 10" xfId="4691"/>
    <cellStyle name="Pourcentage 3 3 4 11" xfId="7008"/>
    <cellStyle name="Pourcentage 3 3 4 12" xfId="7194"/>
    <cellStyle name="Pourcentage 3 3 4 2" xfId="161"/>
    <cellStyle name="Pourcentage 3 3 4 2 10" xfId="7009"/>
    <cellStyle name="Pourcentage 3 3 4 2 11" xfId="7195"/>
    <cellStyle name="Pourcentage 3 3 4 2 2" xfId="405"/>
    <cellStyle name="Pourcentage 3 3 4 2 2 2" xfId="2348"/>
    <cellStyle name="Pourcentage 3 3 4 2 2 2 2" xfId="4554"/>
    <cellStyle name="Pourcentage 3 3 4 2 2 2 3" xfId="6774"/>
    <cellStyle name="Pourcentage 3 3 4 2 2 3" xfId="1332"/>
    <cellStyle name="Pourcentage 3 3 4 2 2 3 2" xfId="3620"/>
    <cellStyle name="Pourcentage 3 3 4 2 2 3 3" xfId="5840"/>
    <cellStyle name="Pourcentage 3 3 4 2 2 4" xfId="2717"/>
    <cellStyle name="Pourcentage 3 3 4 2 2 5" xfId="4937"/>
    <cellStyle name="Pourcentage 3 3 4 2 3" xfId="606"/>
    <cellStyle name="Pourcentage 3 3 4 2 3 2" xfId="1519"/>
    <cellStyle name="Pourcentage 3 3 4 2 3 2 2" xfId="3807"/>
    <cellStyle name="Pourcentage 3 3 4 2 3 2 3" xfId="6027"/>
    <cellStyle name="Pourcentage 3 3 4 2 3 3" xfId="2904"/>
    <cellStyle name="Pourcentage 3 3 4 2 3 4" xfId="5124"/>
    <cellStyle name="Pourcentage 3 3 4 2 4" xfId="796"/>
    <cellStyle name="Pourcentage 3 3 4 2 4 2" xfId="1707"/>
    <cellStyle name="Pourcentage 3 3 4 2 4 2 2" xfId="3995"/>
    <cellStyle name="Pourcentage 3 3 4 2 4 2 3" xfId="6215"/>
    <cellStyle name="Pourcentage 3 3 4 2 4 3" xfId="3092"/>
    <cellStyle name="Pourcentage 3 3 4 2 4 4" xfId="5312"/>
    <cellStyle name="Pourcentage 3 3 4 2 5" xfId="981"/>
    <cellStyle name="Pourcentage 3 3 4 2 5 2" xfId="1892"/>
    <cellStyle name="Pourcentage 3 3 4 2 5 2 2" xfId="4180"/>
    <cellStyle name="Pourcentage 3 3 4 2 5 2 3" xfId="6400"/>
    <cellStyle name="Pourcentage 3 3 4 2 5 3" xfId="3277"/>
    <cellStyle name="Pourcentage 3 3 4 2 5 4" xfId="5497"/>
    <cellStyle name="Pourcentage 3 3 4 2 6" xfId="2157"/>
    <cellStyle name="Pourcentage 3 3 4 2 6 2" xfId="4442"/>
    <cellStyle name="Pourcentage 3 3 4 2 6 3" xfId="6662"/>
    <cellStyle name="Pourcentage 3 3 4 2 7" xfId="1165"/>
    <cellStyle name="Pourcentage 3 3 4 2 7 2" xfId="3456"/>
    <cellStyle name="Pourcentage 3 3 4 2 7 3" xfId="5676"/>
    <cellStyle name="Pourcentage 3 3 4 2 8" xfId="2553"/>
    <cellStyle name="Pourcentage 3 3 4 2 9" xfId="4772"/>
    <cellStyle name="Pourcentage 3 3 4 3" xfId="404"/>
    <cellStyle name="Pourcentage 3 3 4 3 2" xfId="1943"/>
    <cellStyle name="Pourcentage 3 3 4 3 2 2" xfId="4230"/>
    <cellStyle name="Pourcentage 3 3 4 3 2 3" xfId="6450"/>
    <cellStyle name="Pourcentage 3 3 4 3 3" xfId="1331"/>
    <cellStyle name="Pourcentage 3 3 4 3 3 2" xfId="3619"/>
    <cellStyle name="Pourcentage 3 3 4 3 3 3" xfId="5839"/>
    <cellStyle name="Pourcentage 3 3 4 3 4" xfId="2716"/>
    <cellStyle name="Pourcentage 3 3 4 3 5" xfId="4936"/>
    <cellStyle name="Pourcentage 3 3 4 4" xfId="605"/>
    <cellStyle name="Pourcentage 3 3 4 4 2" xfId="1518"/>
    <cellStyle name="Pourcentage 3 3 4 4 2 2" xfId="3806"/>
    <cellStyle name="Pourcentage 3 3 4 4 2 3" xfId="6026"/>
    <cellStyle name="Pourcentage 3 3 4 4 3" xfId="2903"/>
    <cellStyle name="Pourcentage 3 3 4 4 4" xfId="5123"/>
    <cellStyle name="Pourcentage 3 3 4 5" xfId="795"/>
    <cellStyle name="Pourcentage 3 3 4 5 2" xfId="1706"/>
    <cellStyle name="Pourcentage 3 3 4 5 2 2" xfId="3994"/>
    <cellStyle name="Pourcentage 3 3 4 5 2 3" xfId="6214"/>
    <cellStyle name="Pourcentage 3 3 4 5 3" xfId="3091"/>
    <cellStyle name="Pourcentage 3 3 4 5 4" xfId="5311"/>
    <cellStyle name="Pourcentage 3 3 4 6" xfId="980"/>
    <cellStyle name="Pourcentage 3 3 4 6 2" xfId="1891"/>
    <cellStyle name="Pourcentage 3 3 4 6 2 2" xfId="4179"/>
    <cellStyle name="Pourcentage 3 3 4 6 2 3" xfId="6399"/>
    <cellStyle name="Pourcentage 3 3 4 6 3" xfId="3276"/>
    <cellStyle name="Pourcentage 3 3 4 6 4" xfId="5496"/>
    <cellStyle name="Pourcentage 3 3 4 7" xfId="2156"/>
    <cellStyle name="Pourcentage 3 3 4 7 2" xfId="4441"/>
    <cellStyle name="Pourcentage 3 3 4 7 3" xfId="6661"/>
    <cellStyle name="Pourcentage 3 3 4 8" xfId="1085"/>
    <cellStyle name="Pourcentage 3 3 4 8 2" xfId="3377"/>
    <cellStyle name="Pourcentage 3 3 4 8 3" xfId="5597"/>
    <cellStyle name="Pourcentage 3 3 4 9" xfId="2474"/>
    <cellStyle name="Pourcentage 3 3 5" xfId="91"/>
    <cellStyle name="Pourcentage 3 3 5 10" xfId="4703"/>
    <cellStyle name="Pourcentage 3 3 5 11" xfId="7010"/>
    <cellStyle name="Pourcentage 3 3 5 12" xfId="7196"/>
    <cellStyle name="Pourcentage 3 3 5 2" xfId="173"/>
    <cellStyle name="Pourcentage 3 3 5 2 10" xfId="7011"/>
    <cellStyle name="Pourcentage 3 3 5 2 11" xfId="7197"/>
    <cellStyle name="Pourcentage 3 3 5 2 2" xfId="407"/>
    <cellStyle name="Pourcentage 3 3 5 2 2 2" xfId="2349"/>
    <cellStyle name="Pourcentage 3 3 5 2 2 2 2" xfId="4555"/>
    <cellStyle name="Pourcentage 3 3 5 2 2 2 3" xfId="6775"/>
    <cellStyle name="Pourcentage 3 3 5 2 2 3" xfId="1334"/>
    <cellStyle name="Pourcentage 3 3 5 2 2 3 2" xfId="3622"/>
    <cellStyle name="Pourcentage 3 3 5 2 2 3 3" xfId="5842"/>
    <cellStyle name="Pourcentage 3 3 5 2 2 4" xfId="2719"/>
    <cellStyle name="Pourcentage 3 3 5 2 2 5" xfId="4939"/>
    <cellStyle name="Pourcentage 3 3 5 2 3" xfId="608"/>
    <cellStyle name="Pourcentage 3 3 5 2 3 2" xfId="1521"/>
    <cellStyle name="Pourcentage 3 3 5 2 3 2 2" xfId="3809"/>
    <cellStyle name="Pourcentage 3 3 5 2 3 2 3" xfId="6029"/>
    <cellStyle name="Pourcentage 3 3 5 2 3 3" xfId="2906"/>
    <cellStyle name="Pourcentage 3 3 5 2 3 4" xfId="5126"/>
    <cellStyle name="Pourcentage 3 3 5 2 4" xfId="798"/>
    <cellStyle name="Pourcentage 3 3 5 2 4 2" xfId="1709"/>
    <cellStyle name="Pourcentage 3 3 5 2 4 2 2" xfId="3997"/>
    <cellStyle name="Pourcentage 3 3 5 2 4 2 3" xfId="6217"/>
    <cellStyle name="Pourcentage 3 3 5 2 4 3" xfId="3094"/>
    <cellStyle name="Pourcentage 3 3 5 2 4 4" xfId="5314"/>
    <cellStyle name="Pourcentage 3 3 5 2 5" xfId="983"/>
    <cellStyle name="Pourcentage 3 3 5 2 5 2" xfId="1894"/>
    <cellStyle name="Pourcentage 3 3 5 2 5 2 2" xfId="4182"/>
    <cellStyle name="Pourcentage 3 3 5 2 5 2 3" xfId="6402"/>
    <cellStyle name="Pourcentage 3 3 5 2 5 3" xfId="3279"/>
    <cellStyle name="Pourcentage 3 3 5 2 5 4" xfId="5499"/>
    <cellStyle name="Pourcentage 3 3 5 2 6" xfId="2159"/>
    <cellStyle name="Pourcentage 3 3 5 2 6 2" xfId="4444"/>
    <cellStyle name="Pourcentage 3 3 5 2 6 3" xfId="6664"/>
    <cellStyle name="Pourcentage 3 3 5 2 7" xfId="1177"/>
    <cellStyle name="Pourcentage 3 3 5 2 7 2" xfId="3468"/>
    <cellStyle name="Pourcentage 3 3 5 2 7 3" xfId="5688"/>
    <cellStyle name="Pourcentage 3 3 5 2 8" xfId="2565"/>
    <cellStyle name="Pourcentage 3 3 5 2 9" xfId="4784"/>
    <cellStyle name="Pourcentage 3 3 5 3" xfId="406"/>
    <cellStyle name="Pourcentage 3 3 5 3 2" xfId="1945"/>
    <cellStyle name="Pourcentage 3 3 5 3 2 2" xfId="4232"/>
    <cellStyle name="Pourcentage 3 3 5 3 2 3" xfId="6452"/>
    <cellStyle name="Pourcentage 3 3 5 3 3" xfId="1333"/>
    <cellStyle name="Pourcentage 3 3 5 3 3 2" xfId="3621"/>
    <cellStyle name="Pourcentage 3 3 5 3 3 3" xfId="5841"/>
    <cellStyle name="Pourcentage 3 3 5 3 4" xfId="2718"/>
    <cellStyle name="Pourcentage 3 3 5 3 5" xfId="4938"/>
    <cellStyle name="Pourcentage 3 3 5 4" xfId="607"/>
    <cellStyle name="Pourcentage 3 3 5 4 2" xfId="1520"/>
    <cellStyle name="Pourcentage 3 3 5 4 2 2" xfId="3808"/>
    <cellStyle name="Pourcentage 3 3 5 4 2 3" xfId="6028"/>
    <cellStyle name="Pourcentage 3 3 5 4 3" xfId="2905"/>
    <cellStyle name="Pourcentage 3 3 5 4 4" xfId="5125"/>
    <cellStyle name="Pourcentage 3 3 5 5" xfId="797"/>
    <cellStyle name="Pourcentage 3 3 5 5 2" xfId="1708"/>
    <cellStyle name="Pourcentage 3 3 5 5 2 2" xfId="3996"/>
    <cellStyle name="Pourcentage 3 3 5 5 2 3" xfId="6216"/>
    <cellStyle name="Pourcentage 3 3 5 5 3" xfId="3093"/>
    <cellStyle name="Pourcentage 3 3 5 5 4" xfId="5313"/>
    <cellStyle name="Pourcentage 3 3 5 6" xfId="982"/>
    <cellStyle name="Pourcentage 3 3 5 6 2" xfId="1893"/>
    <cellStyle name="Pourcentage 3 3 5 6 2 2" xfId="4181"/>
    <cellStyle name="Pourcentage 3 3 5 6 2 3" xfId="6401"/>
    <cellStyle name="Pourcentage 3 3 5 6 3" xfId="3278"/>
    <cellStyle name="Pourcentage 3 3 5 6 4" xfId="5498"/>
    <cellStyle name="Pourcentage 3 3 5 7" xfId="2158"/>
    <cellStyle name="Pourcentage 3 3 5 7 2" xfId="4443"/>
    <cellStyle name="Pourcentage 3 3 5 7 3" xfId="6663"/>
    <cellStyle name="Pourcentage 3 3 5 8" xfId="1097"/>
    <cellStyle name="Pourcentage 3 3 5 8 2" xfId="3389"/>
    <cellStyle name="Pourcentage 3 3 5 8 3" xfId="5609"/>
    <cellStyle name="Pourcentage 3 3 5 9" xfId="2486"/>
    <cellStyle name="Pourcentage 3 3 6" xfId="125"/>
    <cellStyle name="Pourcentage 3 3 6 10" xfId="7012"/>
    <cellStyle name="Pourcentage 3 3 6 11" xfId="7198"/>
    <cellStyle name="Pourcentage 3 3 6 2" xfId="408"/>
    <cellStyle name="Pourcentage 3 3 6 2 2" xfId="1930"/>
    <cellStyle name="Pourcentage 3 3 6 2 2 2" xfId="4218"/>
    <cellStyle name="Pourcentage 3 3 6 2 2 3" xfId="6438"/>
    <cellStyle name="Pourcentage 3 3 6 2 3" xfId="1335"/>
    <cellStyle name="Pourcentage 3 3 6 2 3 2" xfId="3623"/>
    <cellStyle name="Pourcentage 3 3 6 2 3 3" xfId="5843"/>
    <cellStyle name="Pourcentage 3 3 6 2 4" xfId="2720"/>
    <cellStyle name="Pourcentage 3 3 6 2 5" xfId="4940"/>
    <cellStyle name="Pourcentage 3 3 6 3" xfId="609"/>
    <cellStyle name="Pourcentage 3 3 6 3 2" xfId="1522"/>
    <cellStyle name="Pourcentage 3 3 6 3 2 2" xfId="3810"/>
    <cellStyle name="Pourcentage 3 3 6 3 2 3" xfId="6030"/>
    <cellStyle name="Pourcentage 3 3 6 3 3" xfId="2907"/>
    <cellStyle name="Pourcentage 3 3 6 3 4" xfId="5127"/>
    <cellStyle name="Pourcentage 3 3 6 4" xfId="799"/>
    <cellStyle name="Pourcentage 3 3 6 4 2" xfId="1710"/>
    <cellStyle name="Pourcentage 3 3 6 4 2 2" xfId="3998"/>
    <cellStyle name="Pourcentage 3 3 6 4 2 3" xfId="6218"/>
    <cellStyle name="Pourcentage 3 3 6 4 3" xfId="3095"/>
    <cellStyle name="Pourcentage 3 3 6 4 4" xfId="5315"/>
    <cellStyle name="Pourcentage 3 3 6 5" xfId="984"/>
    <cellStyle name="Pourcentage 3 3 6 5 2" xfId="1895"/>
    <cellStyle name="Pourcentage 3 3 6 5 2 2" xfId="4183"/>
    <cellStyle name="Pourcentage 3 3 6 5 2 3" xfId="6403"/>
    <cellStyle name="Pourcentage 3 3 6 5 3" xfId="3280"/>
    <cellStyle name="Pourcentage 3 3 6 5 4" xfId="5500"/>
    <cellStyle name="Pourcentage 3 3 6 6" xfId="2160"/>
    <cellStyle name="Pourcentage 3 3 6 6 2" xfId="4445"/>
    <cellStyle name="Pourcentage 3 3 6 6 3" xfId="6665"/>
    <cellStyle name="Pourcentage 3 3 6 7" xfId="1129"/>
    <cellStyle name="Pourcentage 3 3 6 7 2" xfId="3420"/>
    <cellStyle name="Pourcentage 3 3 6 7 3" xfId="5640"/>
    <cellStyle name="Pourcentage 3 3 6 8" xfId="2517"/>
    <cellStyle name="Pourcentage 3 3 6 9" xfId="4736"/>
    <cellStyle name="Pourcentage 3 3 7" xfId="399"/>
    <cellStyle name="Pourcentage 3 3 7 2" xfId="1968"/>
    <cellStyle name="Pourcentage 3 3 7 2 2" xfId="4254"/>
    <cellStyle name="Pourcentage 3 3 7 2 3" xfId="6474"/>
    <cellStyle name="Pourcentage 3 3 7 3" xfId="1326"/>
    <cellStyle name="Pourcentage 3 3 7 3 2" xfId="3614"/>
    <cellStyle name="Pourcentage 3 3 7 3 3" xfId="5834"/>
    <cellStyle name="Pourcentage 3 3 7 4" xfId="2711"/>
    <cellStyle name="Pourcentage 3 3 7 5" xfId="4931"/>
    <cellStyle name="Pourcentage 3 3 8" xfId="600"/>
    <cellStyle name="Pourcentage 3 3 8 2" xfId="1513"/>
    <cellStyle name="Pourcentage 3 3 8 2 2" xfId="3801"/>
    <cellStyle name="Pourcentage 3 3 8 2 3" xfId="6021"/>
    <cellStyle name="Pourcentage 3 3 8 3" xfId="2898"/>
    <cellStyle name="Pourcentage 3 3 8 4" xfId="5118"/>
    <cellStyle name="Pourcentage 3 3 9" xfId="790"/>
    <cellStyle name="Pourcentage 3 3 9 2" xfId="1701"/>
    <cellStyle name="Pourcentage 3 3 9 2 2" xfId="3989"/>
    <cellStyle name="Pourcentage 3 3 9 2 3" xfId="6209"/>
    <cellStyle name="Pourcentage 3 3 9 3" xfId="3086"/>
    <cellStyle name="Pourcentage 3 3 9 4" xfId="5306"/>
    <cellStyle name="Pourcentage 3 4" xfId="31"/>
    <cellStyle name="Pourcentage 3 4 10" xfId="2430"/>
    <cellStyle name="Pourcentage 3 4 11" xfId="4647"/>
    <cellStyle name="Pourcentage 3 4 12" xfId="7013"/>
    <cellStyle name="Pourcentage 3 4 13" xfId="7199"/>
    <cellStyle name="Pourcentage 3 4 2" xfId="117"/>
    <cellStyle name="Pourcentage 3 4 2 10" xfId="4728"/>
    <cellStyle name="Pourcentage 3 4 2 11" xfId="7014"/>
    <cellStyle name="Pourcentage 3 4 2 12" xfId="7200"/>
    <cellStyle name="Pourcentage 3 4 2 2" xfId="411"/>
    <cellStyle name="Pourcentage 3 4 2 2 10" xfId="7201"/>
    <cellStyle name="Pourcentage 3 4 2 2 2" xfId="612"/>
    <cellStyle name="Pourcentage 3 4 2 2 2 2" xfId="1525"/>
    <cellStyle name="Pourcentage 3 4 2 2 2 2 2" xfId="3813"/>
    <cellStyle name="Pourcentage 3 4 2 2 2 2 3" xfId="6033"/>
    <cellStyle name="Pourcentage 3 4 2 2 2 3" xfId="2910"/>
    <cellStyle name="Pourcentage 3 4 2 2 2 4" xfId="5130"/>
    <cellStyle name="Pourcentage 3 4 2 2 3" xfId="802"/>
    <cellStyle name="Pourcentage 3 4 2 2 3 2" xfId="1713"/>
    <cellStyle name="Pourcentage 3 4 2 2 3 2 2" xfId="4001"/>
    <cellStyle name="Pourcentage 3 4 2 2 3 2 3" xfId="6221"/>
    <cellStyle name="Pourcentage 3 4 2 2 3 3" xfId="3098"/>
    <cellStyle name="Pourcentage 3 4 2 2 3 4" xfId="5318"/>
    <cellStyle name="Pourcentage 3 4 2 2 4" xfId="987"/>
    <cellStyle name="Pourcentage 3 4 2 2 4 2" xfId="1898"/>
    <cellStyle name="Pourcentage 3 4 2 2 4 2 2" xfId="4186"/>
    <cellStyle name="Pourcentage 3 4 2 2 4 2 3" xfId="6406"/>
    <cellStyle name="Pourcentage 3 4 2 2 4 3" xfId="3283"/>
    <cellStyle name="Pourcentage 3 4 2 2 4 4" xfId="5503"/>
    <cellStyle name="Pourcentage 3 4 2 2 5" xfId="2163"/>
    <cellStyle name="Pourcentage 3 4 2 2 5 2" xfId="4448"/>
    <cellStyle name="Pourcentage 3 4 2 2 5 3" xfId="6668"/>
    <cellStyle name="Pourcentage 3 4 2 2 6" xfId="1338"/>
    <cellStyle name="Pourcentage 3 4 2 2 6 2" xfId="3626"/>
    <cellStyle name="Pourcentage 3 4 2 2 6 3" xfId="5846"/>
    <cellStyle name="Pourcentage 3 4 2 2 7" xfId="2723"/>
    <cellStyle name="Pourcentage 3 4 2 2 8" xfId="4943"/>
    <cellStyle name="Pourcentage 3 4 2 2 9" xfId="7015"/>
    <cellStyle name="Pourcentage 3 4 2 3" xfId="410"/>
    <cellStyle name="Pourcentage 3 4 2 3 2" xfId="1337"/>
    <cellStyle name="Pourcentage 3 4 2 3 2 2" xfId="3625"/>
    <cellStyle name="Pourcentage 3 4 2 3 2 3" xfId="5845"/>
    <cellStyle name="Pourcentage 3 4 2 3 3" xfId="2722"/>
    <cellStyle name="Pourcentage 3 4 2 3 4" xfId="4942"/>
    <cellStyle name="Pourcentage 3 4 2 4" xfId="611"/>
    <cellStyle name="Pourcentage 3 4 2 4 2" xfId="1524"/>
    <cellStyle name="Pourcentage 3 4 2 4 2 2" xfId="3812"/>
    <cellStyle name="Pourcentage 3 4 2 4 2 3" xfId="6032"/>
    <cellStyle name="Pourcentage 3 4 2 4 3" xfId="2909"/>
    <cellStyle name="Pourcentage 3 4 2 4 4" xfId="5129"/>
    <cellStyle name="Pourcentage 3 4 2 5" xfId="801"/>
    <cellStyle name="Pourcentage 3 4 2 5 2" xfId="1712"/>
    <cellStyle name="Pourcentage 3 4 2 5 2 2" xfId="4000"/>
    <cellStyle name="Pourcentage 3 4 2 5 2 3" xfId="6220"/>
    <cellStyle name="Pourcentage 3 4 2 5 3" xfId="3097"/>
    <cellStyle name="Pourcentage 3 4 2 5 4" xfId="5317"/>
    <cellStyle name="Pourcentage 3 4 2 6" xfId="986"/>
    <cellStyle name="Pourcentage 3 4 2 6 2" xfId="1897"/>
    <cellStyle name="Pourcentage 3 4 2 6 2 2" xfId="4185"/>
    <cellStyle name="Pourcentage 3 4 2 6 2 3" xfId="6405"/>
    <cellStyle name="Pourcentage 3 4 2 6 3" xfId="3282"/>
    <cellStyle name="Pourcentage 3 4 2 6 4" xfId="5502"/>
    <cellStyle name="Pourcentage 3 4 2 7" xfId="2162"/>
    <cellStyle name="Pourcentage 3 4 2 7 2" xfId="4447"/>
    <cellStyle name="Pourcentage 3 4 2 7 3" xfId="6667"/>
    <cellStyle name="Pourcentage 3 4 2 8" xfId="1121"/>
    <cellStyle name="Pourcentage 3 4 2 8 2" xfId="3412"/>
    <cellStyle name="Pourcentage 3 4 2 8 3" xfId="5632"/>
    <cellStyle name="Pourcentage 3 4 2 9" xfId="2509"/>
    <cellStyle name="Pourcentage 3 4 3" xfId="412"/>
    <cellStyle name="Pourcentage 3 4 3 10" xfId="7202"/>
    <cellStyle name="Pourcentage 3 4 3 2" xfId="613"/>
    <cellStyle name="Pourcentage 3 4 3 2 2" xfId="1526"/>
    <cellStyle name="Pourcentage 3 4 3 2 2 2" xfId="3814"/>
    <cellStyle name="Pourcentage 3 4 3 2 2 3" xfId="6034"/>
    <cellStyle name="Pourcentage 3 4 3 2 3" xfId="2911"/>
    <cellStyle name="Pourcentage 3 4 3 2 4" xfId="5131"/>
    <cellStyle name="Pourcentage 3 4 3 3" xfId="803"/>
    <cellStyle name="Pourcentage 3 4 3 3 2" xfId="1714"/>
    <cellStyle name="Pourcentage 3 4 3 3 2 2" xfId="4002"/>
    <cellStyle name="Pourcentage 3 4 3 3 2 3" xfId="6222"/>
    <cellStyle name="Pourcentage 3 4 3 3 3" xfId="3099"/>
    <cellStyle name="Pourcentage 3 4 3 3 4" xfId="5319"/>
    <cellStyle name="Pourcentage 3 4 3 4" xfId="988"/>
    <cellStyle name="Pourcentage 3 4 3 4 2" xfId="1899"/>
    <cellStyle name="Pourcentage 3 4 3 4 2 2" xfId="4187"/>
    <cellStyle name="Pourcentage 3 4 3 4 2 3" xfId="6407"/>
    <cellStyle name="Pourcentage 3 4 3 4 3" xfId="3284"/>
    <cellStyle name="Pourcentage 3 4 3 4 4" xfId="5504"/>
    <cellStyle name="Pourcentage 3 4 3 5" xfId="2164"/>
    <cellStyle name="Pourcentage 3 4 3 5 2" xfId="4449"/>
    <cellStyle name="Pourcentage 3 4 3 5 3" xfId="6669"/>
    <cellStyle name="Pourcentage 3 4 3 6" xfId="1339"/>
    <cellStyle name="Pourcentage 3 4 3 6 2" xfId="3627"/>
    <cellStyle name="Pourcentage 3 4 3 6 3" xfId="5847"/>
    <cellStyle name="Pourcentage 3 4 3 7" xfId="2724"/>
    <cellStyle name="Pourcentage 3 4 3 8" xfId="4944"/>
    <cellStyle name="Pourcentage 3 4 3 9" xfId="7016"/>
    <cellStyle name="Pourcentage 3 4 4" xfId="409"/>
    <cellStyle name="Pourcentage 3 4 4 2" xfId="1336"/>
    <cellStyle name="Pourcentage 3 4 4 2 2" xfId="3624"/>
    <cellStyle name="Pourcentage 3 4 4 2 3" xfId="5844"/>
    <cellStyle name="Pourcentage 3 4 4 3" xfId="2721"/>
    <cellStyle name="Pourcentage 3 4 4 4" xfId="4941"/>
    <cellStyle name="Pourcentage 3 4 5" xfId="610"/>
    <cellStyle name="Pourcentage 3 4 5 2" xfId="1523"/>
    <cellStyle name="Pourcentage 3 4 5 2 2" xfId="3811"/>
    <cellStyle name="Pourcentage 3 4 5 2 3" xfId="6031"/>
    <cellStyle name="Pourcentage 3 4 5 3" xfId="2908"/>
    <cellStyle name="Pourcentage 3 4 5 4" xfId="5128"/>
    <cellStyle name="Pourcentage 3 4 6" xfId="800"/>
    <cellStyle name="Pourcentage 3 4 6 2" xfId="1711"/>
    <cellStyle name="Pourcentage 3 4 6 2 2" xfId="3999"/>
    <cellStyle name="Pourcentage 3 4 6 2 3" xfId="6219"/>
    <cellStyle name="Pourcentage 3 4 6 3" xfId="3096"/>
    <cellStyle name="Pourcentage 3 4 6 4" xfId="5316"/>
    <cellStyle name="Pourcentage 3 4 7" xfId="985"/>
    <cellStyle name="Pourcentage 3 4 7 2" xfId="1896"/>
    <cellStyle name="Pourcentage 3 4 7 2 2" xfId="4184"/>
    <cellStyle name="Pourcentage 3 4 7 2 3" xfId="6404"/>
    <cellStyle name="Pourcentage 3 4 7 3" xfId="3281"/>
    <cellStyle name="Pourcentage 3 4 7 4" xfId="5501"/>
    <cellStyle name="Pourcentage 3 4 8" xfId="2161"/>
    <cellStyle name="Pourcentage 3 4 8 2" xfId="4446"/>
    <cellStyle name="Pourcentage 3 4 8 3" xfId="6666"/>
    <cellStyle name="Pourcentage 3 4 9" xfId="1040"/>
    <cellStyle name="Pourcentage 3 4 9 2" xfId="3333"/>
    <cellStyle name="Pourcentage 3 4 9 3" xfId="5553"/>
    <cellStyle name="Pourcentage 3 5" xfId="47"/>
    <cellStyle name="Pourcentage 3 5 10" xfId="4659"/>
    <cellStyle name="Pourcentage 3 5 11" xfId="7017"/>
    <cellStyle name="Pourcentage 3 5 12" xfId="7203"/>
    <cellStyle name="Pourcentage 3 5 2" xfId="129"/>
    <cellStyle name="Pourcentage 3 5 2 10" xfId="7018"/>
    <cellStyle name="Pourcentage 3 5 2 11" xfId="7204"/>
    <cellStyle name="Pourcentage 3 5 2 2" xfId="414"/>
    <cellStyle name="Pourcentage 3 5 2 2 2" xfId="2350"/>
    <cellStyle name="Pourcentage 3 5 2 2 2 2" xfId="4556"/>
    <cellStyle name="Pourcentage 3 5 2 2 2 3" xfId="6776"/>
    <cellStyle name="Pourcentage 3 5 2 2 3" xfId="1341"/>
    <cellStyle name="Pourcentage 3 5 2 2 3 2" xfId="3629"/>
    <cellStyle name="Pourcentage 3 5 2 2 3 3" xfId="5849"/>
    <cellStyle name="Pourcentage 3 5 2 2 4" xfId="2726"/>
    <cellStyle name="Pourcentage 3 5 2 2 5" xfId="4946"/>
    <cellStyle name="Pourcentage 3 5 2 3" xfId="615"/>
    <cellStyle name="Pourcentage 3 5 2 3 2" xfId="1528"/>
    <cellStyle name="Pourcentage 3 5 2 3 2 2" xfId="3816"/>
    <cellStyle name="Pourcentage 3 5 2 3 2 3" xfId="6036"/>
    <cellStyle name="Pourcentage 3 5 2 3 3" xfId="2913"/>
    <cellStyle name="Pourcentage 3 5 2 3 4" xfId="5133"/>
    <cellStyle name="Pourcentage 3 5 2 4" xfId="805"/>
    <cellStyle name="Pourcentage 3 5 2 4 2" xfId="1716"/>
    <cellStyle name="Pourcentage 3 5 2 4 2 2" xfId="4004"/>
    <cellStyle name="Pourcentage 3 5 2 4 2 3" xfId="6224"/>
    <cellStyle name="Pourcentage 3 5 2 4 3" xfId="3101"/>
    <cellStyle name="Pourcentage 3 5 2 4 4" xfId="5321"/>
    <cellStyle name="Pourcentage 3 5 2 5" xfId="990"/>
    <cellStyle name="Pourcentage 3 5 2 5 2" xfId="1901"/>
    <cellStyle name="Pourcentage 3 5 2 5 2 2" xfId="4189"/>
    <cellStyle name="Pourcentage 3 5 2 5 2 3" xfId="6409"/>
    <cellStyle name="Pourcentage 3 5 2 5 3" xfId="3286"/>
    <cellStyle name="Pourcentage 3 5 2 5 4" xfId="5506"/>
    <cellStyle name="Pourcentage 3 5 2 6" xfId="2166"/>
    <cellStyle name="Pourcentage 3 5 2 6 2" xfId="4451"/>
    <cellStyle name="Pourcentage 3 5 2 6 3" xfId="6671"/>
    <cellStyle name="Pourcentage 3 5 2 7" xfId="1133"/>
    <cellStyle name="Pourcentage 3 5 2 7 2" xfId="3424"/>
    <cellStyle name="Pourcentage 3 5 2 7 3" xfId="5644"/>
    <cellStyle name="Pourcentage 3 5 2 8" xfId="2521"/>
    <cellStyle name="Pourcentage 3 5 2 9" xfId="4740"/>
    <cellStyle name="Pourcentage 3 5 3" xfId="413"/>
    <cellStyle name="Pourcentage 3 5 3 2" xfId="1961"/>
    <cellStyle name="Pourcentage 3 5 3 2 2" xfId="4247"/>
    <cellStyle name="Pourcentage 3 5 3 2 3" xfId="6467"/>
    <cellStyle name="Pourcentage 3 5 3 3" xfId="1340"/>
    <cellStyle name="Pourcentage 3 5 3 3 2" xfId="3628"/>
    <cellStyle name="Pourcentage 3 5 3 3 3" xfId="5848"/>
    <cellStyle name="Pourcentage 3 5 3 4" xfId="2725"/>
    <cellStyle name="Pourcentage 3 5 3 5" xfId="4945"/>
    <cellStyle name="Pourcentage 3 5 4" xfId="614"/>
    <cellStyle name="Pourcentage 3 5 4 2" xfId="1527"/>
    <cellStyle name="Pourcentage 3 5 4 2 2" xfId="3815"/>
    <cellStyle name="Pourcentage 3 5 4 2 3" xfId="6035"/>
    <cellStyle name="Pourcentage 3 5 4 3" xfId="2912"/>
    <cellStyle name="Pourcentage 3 5 4 4" xfId="5132"/>
    <cellStyle name="Pourcentage 3 5 5" xfId="804"/>
    <cellStyle name="Pourcentage 3 5 5 2" xfId="1715"/>
    <cellStyle name="Pourcentage 3 5 5 2 2" xfId="4003"/>
    <cellStyle name="Pourcentage 3 5 5 2 3" xfId="6223"/>
    <cellStyle name="Pourcentage 3 5 5 3" xfId="3100"/>
    <cellStyle name="Pourcentage 3 5 5 4" xfId="5320"/>
    <cellStyle name="Pourcentage 3 5 6" xfId="989"/>
    <cellStyle name="Pourcentage 3 5 6 2" xfId="1900"/>
    <cellStyle name="Pourcentage 3 5 6 2 2" xfId="4188"/>
    <cellStyle name="Pourcentage 3 5 6 2 3" xfId="6408"/>
    <cellStyle name="Pourcentage 3 5 6 3" xfId="3285"/>
    <cellStyle name="Pourcentage 3 5 6 4" xfId="5505"/>
    <cellStyle name="Pourcentage 3 5 7" xfId="2165"/>
    <cellStyle name="Pourcentage 3 5 7 2" xfId="4450"/>
    <cellStyle name="Pourcentage 3 5 7 3" xfId="6670"/>
    <cellStyle name="Pourcentage 3 5 8" xfId="1053"/>
    <cellStyle name="Pourcentage 3 5 8 2" xfId="3345"/>
    <cellStyle name="Pourcentage 3 5 8 3" xfId="5565"/>
    <cellStyle name="Pourcentage 3 5 9" xfId="2442"/>
    <cellStyle name="Pourcentage 3 6" xfId="59"/>
    <cellStyle name="Pourcentage 3 6 10" xfId="4671"/>
    <cellStyle name="Pourcentage 3 6 11" xfId="7019"/>
    <cellStyle name="Pourcentage 3 6 12" xfId="7205"/>
    <cellStyle name="Pourcentage 3 6 2" xfId="141"/>
    <cellStyle name="Pourcentage 3 6 2 10" xfId="7020"/>
    <cellStyle name="Pourcentage 3 6 2 11" xfId="7206"/>
    <cellStyle name="Pourcentage 3 6 2 2" xfId="416"/>
    <cellStyle name="Pourcentage 3 6 2 2 2" xfId="2351"/>
    <cellStyle name="Pourcentage 3 6 2 2 2 2" xfId="4557"/>
    <cellStyle name="Pourcentage 3 6 2 2 2 3" xfId="6777"/>
    <cellStyle name="Pourcentage 3 6 2 2 3" xfId="1343"/>
    <cellStyle name="Pourcentage 3 6 2 2 3 2" xfId="3631"/>
    <cellStyle name="Pourcentage 3 6 2 2 3 3" xfId="5851"/>
    <cellStyle name="Pourcentage 3 6 2 2 4" xfId="2728"/>
    <cellStyle name="Pourcentage 3 6 2 2 5" xfId="4948"/>
    <cellStyle name="Pourcentage 3 6 2 3" xfId="617"/>
    <cellStyle name="Pourcentage 3 6 2 3 2" xfId="1530"/>
    <cellStyle name="Pourcentage 3 6 2 3 2 2" xfId="3818"/>
    <cellStyle name="Pourcentage 3 6 2 3 2 3" xfId="6038"/>
    <cellStyle name="Pourcentage 3 6 2 3 3" xfId="2915"/>
    <cellStyle name="Pourcentage 3 6 2 3 4" xfId="5135"/>
    <cellStyle name="Pourcentage 3 6 2 4" xfId="807"/>
    <cellStyle name="Pourcentage 3 6 2 4 2" xfId="1718"/>
    <cellStyle name="Pourcentage 3 6 2 4 2 2" xfId="4006"/>
    <cellStyle name="Pourcentage 3 6 2 4 2 3" xfId="6226"/>
    <cellStyle name="Pourcentage 3 6 2 4 3" xfId="3103"/>
    <cellStyle name="Pourcentage 3 6 2 4 4" xfId="5323"/>
    <cellStyle name="Pourcentage 3 6 2 5" xfId="992"/>
    <cellStyle name="Pourcentage 3 6 2 5 2" xfId="1903"/>
    <cellStyle name="Pourcentage 3 6 2 5 2 2" xfId="4191"/>
    <cellStyle name="Pourcentage 3 6 2 5 2 3" xfId="6411"/>
    <cellStyle name="Pourcentage 3 6 2 5 3" xfId="3288"/>
    <cellStyle name="Pourcentage 3 6 2 5 4" xfId="5508"/>
    <cellStyle name="Pourcentage 3 6 2 6" xfId="2168"/>
    <cellStyle name="Pourcentage 3 6 2 6 2" xfId="4453"/>
    <cellStyle name="Pourcentage 3 6 2 6 3" xfId="6673"/>
    <cellStyle name="Pourcentage 3 6 2 7" xfId="1145"/>
    <cellStyle name="Pourcentage 3 6 2 7 2" xfId="3436"/>
    <cellStyle name="Pourcentage 3 6 2 7 3" xfId="5656"/>
    <cellStyle name="Pourcentage 3 6 2 8" xfId="2533"/>
    <cellStyle name="Pourcentage 3 6 2 9" xfId="4752"/>
    <cellStyle name="Pourcentage 3 6 3" xfId="415"/>
    <cellStyle name="Pourcentage 3 6 3 2" xfId="1956"/>
    <cellStyle name="Pourcentage 3 6 3 2 2" xfId="4243"/>
    <cellStyle name="Pourcentage 3 6 3 2 3" xfId="6463"/>
    <cellStyle name="Pourcentage 3 6 3 3" xfId="1342"/>
    <cellStyle name="Pourcentage 3 6 3 3 2" xfId="3630"/>
    <cellStyle name="Pourcentage 3 6 3 3 3" xfId="5850"/>
    <cellStyle name="Pourcentage 3 6 3 4" xfId="2727"/>
    <cellStyle name="Pourcentage 3 6 3 5" xfId="4947"/>
    <cellStyle name="Pourcentage 3 6 4" xfId="616"/>
    <cellStyle name="Pourcentage 3 6 4 2" xfId="1529"/>
    <cellStyle name="Pourcentage 3 6 4 2 2" xfId="3817"/>
    <cellStyle name="Pourcentage 3 6 4 2 3" xfId="6037"/>
    <cellStyle name="Pourcentage 3 6 4 3" xfId="2914"/>
    <cellStyle name="Pourcentage 3 6 4 4" xfId="5134"/>
    <cellStyle name="Pourcentage 3 6 5" xfId="806"/>
    <cellStyle name="Pourcentage 3 6 5 2" xfId="1717"/>
    <cellStyle name="Pourcentage 3 6 5 2 2" xfId="4005"/>
    <cellStyle name="Pourcentage 3 6 5 2 3" xfId="6225"/>
    <cellStyle name="Pourcentage 3 6 5 3" xfId="3102"/>
    <cellStyle name="Pourcentage 3 6 5 4" xfId="5322"/>
    <cellStyle name="Pourcentage 3 6 6" xfId="991"/>
    <cellStyle name="Pourcentage 3 6 6 2" xfId="1902"/>
    <cellStyle name="Pourcentage 3 6 6 2 2" xfId="4190"/>
    <cellStyle name="Pourcentage 3 6 6 2 3" xfId="6410"/>
    <cellStyle name="Pourcentage 3 6 6 3" xfId="3287"/>
    <cellStyle name="Pourcentage 3 6 6 4" xfId="5507"/>
    <cellStyle name="Pourcentage 3 6 7" xfId="2167"/>
    <cellStyle name="Pourcentage 3 6 7 2" xfId="4452"/>
    <cellStyle name="Pourcentage 3 6 7 3" xfId="6672"/>
    <cellStyle name="Pourcentage 3 6 8" xfId="1065"/>
    <cellStyle name="Pourcentage 3 6 8 2" xfId="3357"/>
    <cellStyle name="Pourcentage 3 6 8 3" xfId="5577"/>
    <cellStyle name="Pourcentage 3 6 9" xfId="2454"/>
    <cellStyle name="Pourcentage 3 7" xfId="71"/>
    <cellStyle name="Pourcentage 3 7 10" xfId="4683"/>
    <cellStyle name="Pourcentage 3 7 11" xfId="7021"/>
    <cellStyle name="Pourcentage 3 7 12" xfId="7207"/>
    <cellStyle name="Pourcentage 3 7 2" xfId="153"/>
    <cellStyle name="Pourcentage 3 7 2 10" xfId="7022"/>
    <cellStyle name="Pourcentage 3 7 2 11" xfId="7208"/>
    <cellStyle name="Pourcentage 3 7 2 2" xfId="418"/>
    <cellStyle name="Pourcentage 3 7 2 2 2" xfId="2352"/>
    <cellStyle name="Pourcentage 3 7 2 2 2 2" xfId="4558"/>
    <cellStyle name="Pourcentage 3 7 2 2 2 3" xfId="6778"/>
    <cellStyle name="Pourcentage 3 7 2 2 3" xfId="1345"/>
    <cellStyle name="Pourcentage 3 7 2 2 3 2" xfId="3633"/>
    <cellStyle name="Pourcentage 3 7 2 2 3 3" xfId="5853"/>
    <cellStyle name="Pourcentage 3 7 2 2 4" xfId="2730"/>
    <cellStyle name="Pourcentage 3 7 2 2 5" xfId="4950"/>
    <cellStyle name="Pourcentage 3 7 2 3" xfId="619"/>
    <cellStyle name="Pourcentage 3 7 2 3 2" xfId="1532"/>
    <cellStyle name="Pourcentage 3 7 2 3 2 2" xfId="3820"/>
    <cellStyle name="Pourcentage 3 7 2 3 2 3" xfId="6040"/>
    <cellStyle name="Pourcentage 3 7 2 3 3" xfId="2917"/>
    <cellStyle name="Pourcentage 3 7 2 3 4" xfId="5137"/>
    <cellStyle name="Pourcentage 3 7 2 4" xfId="809"/>
    <cellStyle name="Pourcentage 3 7 2 4 2" xfId="1720"/>
    <cellStyle name="Pourcentage 3 7 2 4 2 2" xfId="4008"/>
    <cellStyle name="Pourcentage 3 7 2 4 2 3" xfId="6228"/>
    <cellStyle name="Pourcentage 3 7 2 4 3" xfId="3105"/>
    <cellStyle name="Pourcentage 3 7 2 4 4" xfId="5325"/>
    <cellStyle name="Pourcentage 3 7 2 5" xfId="994"/>
    <cellStyle name="Pourcentage 3 7 2 5 2" xfId="1905"/>
    <cellStyle name="Pourcentage 3 7 2 5 2 2" xfId="4193"/>
    <cellStyle name="Pourcentage 3 7 2 5 2 3" xfId="6413"/>
    <cellStyle name="Pourcentage 3 7 2 5 3" xfId="3290"/>
    <cellStyle name="Pourcentage 3 7 2 5 4" xfId="5510"/>
    <cellStyle name="Pourcentage 3 7 2 6" xfId="2170"/>
    <cellStyle name="Pourcentage 3 7 2 6 2" xfId="4455"/>
    <cellStyle name="Pourcentage 3 7 2 6 3" xfId="6675"/>
    <cellStyle name="Pourcentage 3 7 2 7" xfId="1157"/>
    <cellStyle name="Pourcentage 3 7 2 7 2" xfId="3448"/>
    <cellStyle name="Pourcentage 3 7 2 7 3" xfId="5668"/>
    <cellStyle name="Pourcentage 3 7 2 8" xfId="2545"/>
    <cellStyle name="Pourcentage 3 7 2 9" xfId="4764"/>
    <cellStyle name="Pourcentage 3 7 3" xfId="417"/>
    <cellStyle name="Pourcentage 3 7 3 2" xfId="1948"/>
    <cellStyle name="Pourcentage 3 7 3 2 2" xfId="4235"/>
    <cellStyle name="Pourcentage 3 7 3 2 3" xfId="6455"/>
    <cellStyle name="Pourcentage 3 7 3 3" xfId="1344"/>
    <cellStyle name="Pourcentage 3 7 3 3 2" xfId="3632"/>
    <cellStyle name="Pourcentage 3 7 3 3 3" xfId="5852"/>
    <cellStyle name="Pourcentage 3 7 3 4" xfId="2729"/>
    <cellStyle name="Pourcentage 3 7 3 5" xfId="4949"/>
    <cellStyle name="Pourcentage 3 7 4" xfId="618"/>
    <cellStyle name="Pourcentage 3 7 4 2" xfId="1531"/>
    <cellStyle name="Pourcentage 3 7 4 2 2" xfId="3819"/>
    <cellStyle name="Pourcentage 3 7 4 2 3" xfId="6039"/>
    <cellStyle name="Pourcentage 3 7 4 3" xfId="2916"/>
    <cellStyle name="Pourcentage 3 7 4 4" xfId="5136"/>
    <cellStyle name="Pourcentage 3 7 5" xfId="808"/>
    <cellStyle name="Pourcentage 3 7 5 2" xfId="1719"/>
    <cellStyle name="Pourcentage 3 7 5 2 2" xfId="4007"/>
    <cellStyle name="Pourcentage 3 7 5 2 3" xfId="6227"/>
    <cellStyle name="Pourcentage 3 7 5 3" xfId="3104"/>
    <cellStyle name="Pourcentage 3 7 5 4" xfId="5324"/>
    <cellStyle name="Pourcentage 3 7 6" xfId="993"/>
    <cellStyle name="Pourcentage 3 7 6 2" xfId="1904"/>
    <cellStyle name="Pourcentage 3 7 6 2 2" xfId="4192"/>
    <cellStyle name="Pourcentage 3 7 6 2 3" xfId="6412"/>
    <cellStyle name="Pourcentage 3 7 6 3" xfId="3289"/>
    <cellStyle name="Pourcentage 3 7 6 4" xfId="5509"/>
    <cellStyle name="Pourcentage 3 7 7" xfId="2169"/>
    <cellStyle name="Pourcentage 3 7 7 2" xfId="4454"/>
    <cellStyle name="Pourcentage 3 7 7 3" xfId="6674"/>
    <cellStyle name="Pourcentage 3 7 8" xfId="1077"/>
    <cellStyle name="Pourcentage 3 7 8 2" xfId="3369"/>
    <cellStyle name="Pourcentage 3 7 8 3" xfId="5589"/>
    <cellStyle name="Pourcentage 3 7 9" xfId="2466"/>
    <cellStyle name="Pourcentage 3 8" xfId="83"/>
    <cellStyle name="Pourcentage 3 8 10" xfId="4695"/>
    <cellStyle name="Pourcentage 3 8 11" xfId="7023"/>
    <cellStyle name="Pourcentage 3 8 12" xfId="7209"/>
    <cellStyle name="Pourcentage 3 8 2" xfId="165"/>
    <cellStyle name="Pourcentage 3 8 2 10" xfId="7024"/>
    <cellStyle name="Pourcentage 3 8 2 11" xfId="7210"/>
    <cellStyle name="Pourcentage 3 8 2 2" xfId="420"/>
    <cellStyle name="Pourcentage 3 8 2 2 2" xfId="2353"/>
    <cellStyle name="Pourcentage 3 8 2 2 2 2" xfId="4559"/>
    <cellStyle name="Pourcentage 3 8 2 2 2 3" xfId="6779"/>
    <cellStyle name="Pourcentage 3 8 2 2 3" xfId="1347"/>
    <cellStyle name="Pourcentage 3 8 2 2 3 2" xfId="3635"/>
    <cellStyle name="Pourcentage 3 8 2 2 3 3" xfId="5855"/>
    <cellStyle name="Pourcentage 3 8 2 2 4" xfId="2732"/>
    <cellStyle name="Pourcentage 3 8 2 2 5" xfId="4952"/>
    <cellStyle name="Pourcentage 3 8 2 3" xfId="621"/>
    <cellStyle name="Pourcentage 3 8 2 3 2" xfId="1534"/>
    <cellStyle name="Pourcentage 3 8 2 3 2 2" xfId="3822"/>
    <cellStyle name="Pourcentage 3 8 2 3 2 3" xfId="6042"/>
    <cellStyle name="Pourcentage 3 8 2 3 3" xfId="2919"/>
    <cellStyle name="Pourcentage 3 8 2 3 4" xfId="5139"/>
    <cellStyle name="Pourcentage 3 8 2 4" xfId="811"/>
    <cellStyle name="Pourcentage 3 8 2 4 2" xfId="1722"/>
    <cellStyle name="Pourcentage 3 8 2 4 2 2" xfId="4010"/>
    <cellStyle name="Pourcentage 3 8 2 4 2 3" xfId="6230"/>
    <cellStyle name="Pourcentage 3 8 2 4 3" xfId="3107"/>
    <cellStyle name="Pourcentage 3 8 2 4 4" xfId="5327"/>
    <cellStyle name="Pourcentage 3 8 2 5" xfId="996"/>
    <cellStyle name="Pourcentage 3 8 2 5 2" xfId="1907"/>
    <cellStyle name="Pourcentage 3 8 2 5 2 2" xfId="4195"/>
    <cellStyle name="Pourcentage 3 8 2 5 2 3" xfId="6415"/>
    <cellStyle name="Pourcentage 3 8 2 5 3" xfId="3292"/>
    <cellStyle name="Pourcentage 3 8 2 5 4" xfId="5512"/>
    <cellStyle name="Pourcentage 3 8 2 6" xfId="2172"/>
    <cellStyle name="Pourcentage 3 8 2 6 2" xfId="4457"/>
    <cellStyle name="Pourcentage 3 8 2 6 3" xfId="6677"/>
    <cellStyle name="Pourcentage 3 8 2 7" xfId="1169"/>
    <cellStyle name="Pourcentage 3 8 2 7 2" xfId="3460"/>
    <cellStyle name="Pourcentage 3 8 2 7 3" xfId="5680"/>
    <cellStyle name="Pourcentage 3 8 2 8" xfId="2557"/>
    <cellStyle name="Pourcentage 3 8 2 9" xfId="4776"/>
    <cellStyle name="Pourcentage 3 8 3" xfId="419"/>
    <cellStyle name="Pourcentage 3 8 3 2" xfId="1977"/>
    <cellStyle name="Pourcentage 3 8 3 2 2" xfId="4263"/>
    <cellStyle name="Pourcentage 3 8 3 2 3" xfId="6483"/>
    <cellStyle name="Pourcentage 3 8 3 3" xfId="1346"/>
    <cellStyle name="Pourcentage 3 8 3 3 2" xfId="3634"/>
    <cellStyle name="Pourcentage 3 8 3 3 3" xfId="5854"/>
    <cellStyle name="Pourcentage 3 8 3 4" xfId="2731"/>
    <cellStyle name="Pourcentage 3 8 3 5" xfId="4951"/>
    <cellStyle name="Pourcentage 3 8 4" xfId="620"/>
    <cellStyle name="Pourcentage 3 8 4 2" xfId="1533"/>
    <cellStyle name="Pourcentage 3 8 4 2 2" xfId="3821"/>
    <cellStyle name="Pourcentage 3 8 4 2 3" xfId="6041"/>
    <cellStyle name="Pourcentage 3 8 4 3" xfId="2918"/>
    <cellStyle name="Pourcentage 3 8 4 4" xfId="5138"/>
    <cellStyle name="Pourcentage 3 8 5" xfId="810"/>
    <cellStyle name="Pourcentage 3 8 5 2" xfId="1721"/>
    <cellStyle name="Pourcentage 3 8 5 2 2" xfId="4009"/>
    <cellStyle name="Pourcentage 3 8 5 2 3" xfId="6229"/>
    <cellStyle name="Pourcentage 3 8 5 3" xfId="3106"/>
    <cellStyle name="Pourcentage 3 8 5 4" xfId="5326"/>
    <cellStyle name="Pourcentage 3 8 6" xfId="995"/>
    <cellStyle name="Pourcentage 3 8 6 2" xfId="1906"/>
    <cellStyle name="Pourcentage 3 8 6 2 2" xfId="4194"/>
    <cellStyle name="Pourcentage 3 8 6 2 3" xfId="6414"/>
    <cellStyle name="Pourcentage 3 8 6 3" xfId="3291"/>
    <cellStyle name="Pourcentage 3 8 6 4" xfId="5511"/>
    <cellStyle name="Pourcentage 3 8 7" xfId="2171"/>
    <cellStyle name="Pourcentage 3 8 7 2" xfId="4456"/>
    <cellStyle name="Pourcentage 3 8 7 3" xfId="6676"/>
    <cellStyle name="Pourcentage 3 8 8" xfId="1089"/>
    <cellStyle name="Pourcentage 3 8 8 2" xfId="3381"/>
    <cellStyle name="Pourcentage 3 8 8 3" xfId="5601"/>
    <cellStyle name="Pourcentage 3 8 9" xfId="2478"/>
    <cellStyle name="Pourcentage 3 9" xfId="104"/>
    <cellStyle name="Pourcentage 3 9 10" xfId="7025"/>
    <cellStyle name="Pourcentage 3 9 11" xfId="7211"/>
    <cellStyle name="Pourcentage 3 9 2" xfId="421"/>
    <cellStyle name="Pourcentage 3 9 2 2" xfId="1984"/>
    <cellStyle name="Pourcentage 3 9 2 2 2" xfId="4270"/>
    <cellStyle name="Pourcentage 3 9 2 2 3" xfId="6490"/>
    <cellStyle name="Pourcentage 3 9 2 3" xfId="1348"/>
    <cellStyle name="Pourcentage 3 9 2 3 2" xfId="3636"/>
    <cellStyle name="Pourcentage 3 9 2 3 3" xfId="5856"/>
    <cellStyle name="Pourcentage 3 9 2 4" xfId="2733"/>
    <cellStyle name="Pourcentage 3 9 2 5" xfId="4953"/>
    <cellStyle name="Pourcentage 3 9 3" xfId="622"/>
    <cellStyle name="Pourcentage 3 9 3 2" xfId="1535"/>
    <cellStyle name="Pourcentage 3 9 3 2 2" xfId="3823"/>
    <cellStyle name="Pourcentage 3 9 3 2 3" xfId="6043"/>
    <cellStyle name="Pourcentage 3 9 3 3" xfId="2920"/>
    <cellStyle name="Pourcentage 3 9 3 4" xfId="5140"/>
    <cellStyle name="Pourcentage 3 9 4" xfId="812"/>
    <cellStyle name="Pourcentage 3 9 4 2" xfId="1723"/>
    <cellStyle name="Pourcentage 3 9 4 2 2" xfId="4011"/>
    <cellStyle name="Pourcentage 3 9 4 2 3" xfId="6231"/>
    <cellStyle name="Pourcentage 3 9 4 3" xfId="3108"/>
    <cellStyle name="Pourcentage 3 9 4 4" xfId="5328"/>
    <cellStyle name="Pourcentage 3 9 5" xfId="997"/>
    <cellStyle name="Pourcentage 3 9 5 2" xfId="1908"/>
    <cellStyle name="Pourcentage 3 9 5 2 2" xfId="4196"/>
    <cellStyle name="Pourcentage 3 9 5 2 3" xfId="6416"/>
    <cellStyle name="Pourcentage 3 9 5 3" xfId="3293"/>
    <cellStyle name="Pourcentage 3 9 5 4" xfId="5513"/>
    <cellStyle name="Pourcentage 3 9 6" xfId="2173"/>
    <cellStyle name="Pourcentage 3 9 6 2" xfId="4458"/>
    <cellStyle name="Pourcentage 3 9 6 3" xfId="6678"/>
    <cellStyle name="Pourcentage 3 9 7" xfId="1108"/>
    <cellStyle name="Pourcentage 3 9 7 2" xfId="3399"/>
    <cellStyle name="Pourcentage 3 9 7 3" xfId="5619"/>
    <cellStyle name="Pourcentage 3 9 8" xfId="2496"/>
    <cellStyle name="Pourcentage 3 9 9" xfId="4715"/>
    <cellStyle name="Pourcentage 4" xfId="22"/>
    <cellStyle name="Pourcentage 4 2" xfId="2254"/>
    <cellStyle name="Pourcentage 4 2 2" xfId="2378"/>
    <cellStyle name="Pourcentage 5" xfId="19"/>
    <cellStyle name="Pourcentage 5 10" xfId="813"/>
    <cellStyle name="Pourcentage 5 10 2" xfId="1724"/>
    <cellStyle name="Pourcentage 5 10 2 2" xfId="4012"/>
    <cellStyle name="Pourcentage 5 10 2 3" xfId="6232"/>
    <cellStyle name="Pourcentage 5 10 3" xfId="3109"/>
    <cellStyle name="Pourcentage 5 10 4" xfId="5329"/>
    <cellStyle name="Pourcentage 5 11" xfId="998"/>
    <cellStyle name="Pourcentage 5 11 2" xfId="1909"/>
    <cellStyle name="Pourcentage 5 11 2 2" xfId="4197"/>
    <cellStyle name="Pourcentage 5 11 2 3" xfId="6417"/>
    <cellStyle name="Pourcentage 5 11 3" xfId="3294"/>
    <cellStyle name="Pourcentage 5 11 4" xfId="5514"/>
    <cellStyle name="Pourcentage 5 12" xfId="2174"/>
    <cellStyle name="Pourcentage 5 12 2" xfId="4459"/>
    <cellStyle name="Pourcentage 5 12 3" xfId="6679"/>
    <cellStyle name="Pourcentage 5 13" xfId="1032"/>
    <cellStyle name="Pourcentage 5 13 2" xfId="3325"/>
    <cellStyle name="Pourcentage 5 13 3" xfId="5545"/>
    <cellStyle name="Pourcentage 5 14" xfId="2422"/>
    <cellStyle name="Pourcentage 5 15" xfId="4638"/>
    <cellStyle name="Pourcentage 5 16" xfId="7026"/>
    <cellStyle name="Pourcentage 5 17" xfId="7212"/>
    <cellStyle name="Pourcentage 5 2" xfId="34"/>
    <cellStyle name="Pourcentage 5 2 10" xfId="2433"/>
    <cellStyle name="Pourcentage 5 2 11" xfId="4650"/>
    <cellStyle name="Pourcentage 5 2 12" xfId="7027"/>
    <cellStyle name="Pourcentage 5 2 13" xfId="7213"/>
    <cellStyle name="Pourcentage 5 2 2" xfId="120"/>
    <cellStyle name="Pourcentage 5 2 2 10" xfId="4731"/>
    <cellStyle name="Pourcentage 5 2 2 11" xfId="7028"/>
    <cellStyle name="Pourcentage 5 2 2 12" xfId="7214"/>
    <cellStyle name="Pourcentage 5 2 2 2" xfId="425"/>
    <cellStyle name="Pourcentage 5 2 2 2 10" xfId="7215"/>
    <cellStyle name="Pourcentage 5 2 2 2 2" xfId="626"/>
    <cellStyle name="Pourcentage 5 2 2 2 2 2" xfId="1539"/>
    <cellStyle name="Pourcentage 5 2 2 2 2 2 2" xfId="3827"/>
    <cellStyle name="Pourcentage 5 2 2 2 2 2 3" xfId="6047"/>
    <cellStyle name="Pourcentage 5 2 2 2 2 3" xfId="2924"/>
    <cellStyle name="Pourcentage 5 2 2 2 2 4" xfId="5144"/>
    <cellStyle name="Pourcentage 5 2 2 2 3" xfId="816"/>
    <cellStyle name="Pourcentage 5 2 2 2 3 2" xfId="1727"/>
    <cellStyle name="Pourcentage 5 2 2 2 3 2 2" xfId="4015"/>
    <cellStyle name="Pourcentage 5 2 2 2 3 2 3" xfId="6235"/>
    <cellStyle name="Pourcentage 5 2 2 2 3 3" xfId="3112"/>
    <cellStyle name="Pourcentage 5 2 2 2 3 4" xfId="5332"/>
    <cellStyle name="Pourcentage 5 2 2 2 4" xfId="1001"/>
    <cellStyle name="Pourcentage 5 2 2 2 4 2" xfId="1912"/>
    <cellStyle name="Pourcentage 5 2 2 2 4 2 2" xfId="4200"/>
    <cellStyle name="Pourcentage 5 2 2 2 4 2 3" xfId="6420"/>
    <cellStyle name="Pourcentage 5 2 2 2 4 3" xfId="3297"/>
    <cellStyle name="Pourcentage 5 2 2 2 4 4" xfId="5517"/>
    <cellStyle name="Pourcentage 5 2 2 2 5" xfId="2177"/>
    <cellStyle name="Pourcentage 5 2 2 2 5 2" xfId="4462"/>
    <cellStyle name="Pourcentage 5 2 2 2 5 3" xfId="6682"/>
    <cellStyle name="Pourcentage 5 2 2 2 6" xfId="1352"/>
    <cellStyle name="Pourcentage 5 2 2 2 6 2" xfId="3640"/>
    <cellStyle name="Pourcentage 5 2 2 2 6 3" xfId="5860"/>
    <cellStyle name="Pourcentage 5 2 2 2 7" xfId="2737"/>
    <cellStyle name="Pourcentage 5 2 2 2 8" xfId="4957"/>
    <cellStyle name="Pourcentage 5 2 2 2 9" xfId="7029"/>
    <cellStyle name="Pourcentage 5 2 2 3" xfId="424"/>
    <cellStyle name="Pourcentage 5 2 2 3 2" xfId="1351"/>
    <cellStyle name="Pourcentage 5 2 2 3 2 2" xfId="3639"/>
    <cellStyle name="Pourcentage 5 2 2 3 2 3" xfId="5859"/>
    <cellStyle name="Pourcentage 5 2 2 3 3" xfId="2736"/>
    <cellStyle name="Pourcentage 5 2 2 3 4" xfId="4956"/>
    <cellStyle name="Pourcentage 5 2 2 4" xfId="625"/>
    <cellStyle name="Pourcentage 5 2 2 4 2" xfId="1538"/>
    <cellStyle name="Pourcentage 5 2 2 4 2 2" xfId="3826"/>
    <cellStyle name="Pourcentage 5 2 2 4 2 3" xfId="6046"/>
    <cellStyle name="Pourcentage 5 2 2 4 3" xfId="2923"/>
    <cellStyle name="Pourcentage 5 2 2 4 4" xfId="5143"/>
    <cellStyle name="Pourcentage 5 2 2 5" xfId="815"/>
    <cellStyle name="Pourcentage 5 2 2 5 2" xfId="1726"/>
    <cellStyle name="Pourcentage 5 2 2 5 2 2" xfId="4014"/>
    <cellStyle name="Pourcentage 5 2 2 5 2 3" xfId="6234"/>
    <cellStyle name="Pourcentage 5 2 2 5 3" xfId="3111"/>
    <cellStyle name="Pourcentage 5 2 2 5 4" xfId="5331"/>
    <cellStyle name="Pourcentage 5 2 2 6" xfId="1000"/>
    <cellStyle name="Pourcentage 5 2 2 6 2" xfId="1911"/>
    <cellStyle name="Pourcentage 5 2 2 6 2 2" xfId="4199"/>
    <cellStyle name="Pourcentage 5 2 2 6 2 3" xfId="6419"/>
    <cellStyle name="Pourcentage 5 2 2 6 3" xfId="3296"/>
    <cellStyle name="Pourcentage 5 2 2 6 4" xfId="5516"/>
    <cellStyle name="Pourcentage 5 2 2 7" xfId="2176"/>
    <cellStyle name="Pourcentage 5 2 2 7 2" xfId="4461"/>
    <cellStyle name="Pourcentage 5 2 2 7 3" xfId="6681"/>
    <cellStyle name="Pourcentage 5 2 2 8" xfId="1124"/>
    <cellStyle name="Pourcentage 5 2 2 8 2" xfId="3415"/>
    <cellStyle name="Pourcentage 5 2 2 8 3" xfId="5635"/>
    <cellStyle name="Pourcentage 5 2 2 9" xfId="2512"/>
    <cellStyle name="Pourcentage 5 2 3" xfId="426"/>
    <cellStyle name="Pourcentage 5 2 3 10" xfId="7216"/>
    <cellStyle name="Pourcentage 5 2 3 2" xfId="627"/>
    <cellStyle name="Pourcentage 5 2 3 2 2" xfId="1540"/>
    <cellStyle name="Pourcentage 5 2 3 2 2 2" xfId="3828"/>
    <cellStyle name="Pourcentage 5 2 3 2 2 3" xfId="6048"/>
    <cellStyle name="Pourcentage 5 2 3 2 3" xfId="2925"/>
    <cellStyle name="Pourcentage 5 2 3 2 4" xfId="5145"/>
    <cellStyle name="Pourcentage 5 2 3 3" xfId="817"/>
    <cellStyle name="Pourcentage 5 2 3 3 2" xfId="1728"/>
    <cellStyle name="Pourcentage 5 2 3 3 2 2" xfId="4016"/>
    <cellStyle name="Pourcentage 5 2 3 3 2 3" xfId="6236"/>
    <cellStyle name="Pourcentage 5 2 3 3 3" xfId="3113"/>
    <cellStyle name="Pourcentage 5 2 3 3 4" xfId="5333"/>
    <cellStyle name="Pourcentage 5 2 3 4" xfId="1002"/>
    <cellStyle name="Pourcentage 5 2 3 4 2" xfId="1913"/>
    <cellStyle name="Pourcentage 5 2 3 4 2 2" xfId="4201"/>
    <cellStyle name="Pourcentage 5 2 3 4 2 3" xfId="6421"/>
    <cellStyle name="Pourcentage 5 2 3 4 3" xfId="3298"/>
    <cellStyle name="Pourcentage 5 2 3 4 4" xfId="5518"/>
    <cellStyle name="Pourcentage 5 2 3 5" xfId="2178"/>
    <cellStyle name="Pourcentage 5 2 3 5 2" xfId="4463"/>
    <cellStyle name="Pourcentage 5 2 3 5 3" xfId="6683"/>
    <cellStyle name="Pourcentage 5 2 3 6" xfId="1353"/>
    <cellStyle name="Pourcentage 5 2 3 6 2" xfId="3641"/>
    <cellStyle name="Pourcentage 5 2 3 6 3" xfId="5861"/>
    <cellStyle name="Pourcentage 5 2 3 7" xfId="2738"/>
    <cellStyle name="Pourcentage 5 2 3 8" xfId="4958"/>
    <cellStyle name="Pourcentage 5 2 3 9" xfId="7030"/>
    <cellStyle name="Pourcentage 5 2 4" xfId="423"/>
    <cellStyle name="Pourcentage 5 2 4 2" xfId="1350"/>
    <cellStyle name="Pourcentage 5 2 4 2 2" xfId="3638"/>
    <cellStyle name="Pourcentage 5 2 4 2 3" xfId="5858"/>
    <cellStyle name="Pourcentage 5 2 4 3" xfId="2735"/>
    <cellStyle name="Pourcentage 5 2 4 4" xfId="4955"/>
    <cellStyle name="Pourcentage 5 2 5" xfId="624"/>
    <cellStyle name="Pourcentage 5 2 5 2" xfId="1537"/>
    <cellStyle name="Pourcentage 5 2 5 2 2" xfId="3825"/>
    <cellStyle name="Pourcentage 5 2 5 2 3" xfId="6045"/>
    <cellStyle name="Pourcentage 5 2 5 3" xfId="2922"/>
    <cellStyle name="Pourcentage 5 2 5 4" xfId="5142"/>
    <cellStyle name="Pourcentage 5 2 6" xfId="814"/>
    <cellStyle name="Pourcentage 5 2 6 2" xfId="1725"/>
    <cellStyle name="Pourcentage 5 2 6 2 2" xfId="4013"/>
    <cellStyle name="Pourcentage 5 2 6 2 3" xfId="6233"/>
    <cellStyle name="Pourcentage 5 2 6 3" xfId="3110"/>
    <cellStyle name="Pourcentage 5 2 6 4" xfId="5330"/>
    <cellStyle name="Pourcentage 5 2 7" xfId="999"/>
    <cellStyle name="Pourcentage 5 2 7 2" xfId="1910"/>
    <cellStyle name="Pourcentage 5 2 7 2 2" xfId="4198"/>
    <cellStyle name="Pourcentage 5 2 7 2 3" xfId="6418"/>
    <cellStyle name="Pourcentage 5 2 7 3" xfId="3295"/>
    <cellStyle name="Pourcentage 5 2 7 4" xfId="5515"/>
    <cellStyle name="Pourcentage 5 2 8" xfId="2175"/>
    <cellStyle name="Pourcentage 5 2 8 2" xfId="4460"/>
    <cellStyle name="Pourcentage 5 2 8 3" xfId="6680"/>
    <cellStyle name="Pourcentage 5 2 9" xfId="1043"/>
    <cellStyle name="Pourcentage 5 2 9 2" xfId="3336"/>
    <cellStyle name="Pourcentage 5 2 9 3" xfId="5556"/>
    <cellStyle name="Pourcentage 5 3" xfId="50"/>
    <cellStyle name="Pourcentage 5 3 10" xfId="4662"/>
    <cellStyle name="Pourcentage 5 3 11" xfId="7031"/>
    <cellStyle name="Pourcentage 5 3 12" xfId="7217"/>
    <cellStyle name="Pourcentage 5 3 2" xfId="132"/>
    <cellStyle name="Pourcentage 5 3 2 10" xfId="7032"/>
    <cellStyle name="Pourcentage 5 3 2 11" xfId="7218"/>
    <cellStyle name="Pourcentage 5 3 2 2" xfId="428"/>
    <cellStyle name="Pourcentage 5 3 2 2 2" xfId="2354"/>
    <cellStyle name="Pourcentage 5 3 2 2 2 2" xfId="4560"/>
    <cellStyle name="Pourcentage 5 3 2 2 2 3" xfId="6780"/>
    <cellStyle name="Pourcentage 5 3 2 2 3" xfId="1355"/>
    <cellStyle name="Pourcentage 5 3 2 2 3 2" xfId="3643"/>
    <cellStyle name="Pourcentage 5 3 2 2 3 3" xfId="5863"/>
    <cellStyle name="Pourcentage 5 3 2 2 4" xfId="2740"/>
    <cellStyle name="Pourcentage 5 3 2 2 5" xfId="4960"/>
    <cellStyle name="Pourcentage 5 3 2 3" xfId="629"/>
    <cellStyle name="Pourcentage 5 3 2 3 2" xfId="1542"/>
    <cellStyle name="Pourcentage 5 3 2 3 2 2" xfId="3830"/>
    <cellStyle name="Pourcentage 5 3 2 3 2 3" xfId="6050"/>
    <cellStyle name="Pourcentage 5 3 2 3 3" xfId="2927"/>
    <cellStyle name="Pourcentage 5 3 2 3 4" xfId="5147"/>
    <cellStyle name="Pourcentage 5 3 2 4" xfId="819"/>
    <cellStyle name="Pourcentage 5 3 2 4 2" xfId="1730"/>
    <cellStyle name="Pourcentage 5 3 2 4 2 2" xfId="4018"/>
    <cellStyle name="Pourcentage 5 3 2 4 2 3" xfId="6238"/>
    <cellStyle name="Pourcentage 5 3 2 4 3" xfId="3115"/>
    <cellStyle name="Pourcentage 5 3 2 4 4" xfId="5335"/>
    <cellStyle name="Pourcentage 5 3 2 5" xfId="1004"/>
    <cellStyle name="Pourcentage 5 3 2 5 2" xfId="1915"/>
    <cellStyle name="Pourcentage 5 3 2 5 2 2" xfId="4203"/>
    <cellStyle name="Pourcentage 5 3 2 5 2 3" xfId="6423"/>
    <cellStyle name="Pourcentage 5 3 2 5 3" xfId="3300"/>
    <cellStyle name="Pourcentage 5 3 2 5 4" xfId="5520"/>
    <cellStyle name="Pourcentage 5 3 2 6" xfId="2180"/>
    <cellStyle name="Pourcentage 5 3 2 6 2" xfId="4465"/>
    <cellStyle name="Pourcentage 5 3 2 6 3" xfId="6685"/>
    <cellStyle name="Pourcentage 5 3 2 7" xfId="1136"/>
    <cellStyle name="Pourcentage 5 3 2 7 2" xfId="3427"/>
    <cellStyle name="Pourcentage 5 3 2 7 3" xfId="5647"/>
    <cellStyle name="Pourcentage 5 3 2 8" xfId="2524"/>
    <cellStyle name="Pourcentage 5 3 2 9" xfId="4743"/>
    <cellStyle name="Pourcentage 5 3 3" xfId="427"/>
    <cellStyle name="Pourcentage 5 3 3 2" xfId="1937"/>
    <cellStyle name="Pourcentage 5 3 3 2 2" xfId="4225"/>
    <cellStyle name="Pourcentage 5 3 3 2 3" xfId="6445"/>
    <cellStyle name="Pourcentage 5 3 3 3" xfId="1354"/>
    <cellStyle name="Pourcentage 5 3 3 3 2" xfId="3642"/>
    <cellStyle name="Pourcentage 5 3 3 3 3" xfId="5862"/>
    <cellStyle name="Pourcentage 5 3 3 4" xfId="2739"/>
    <cellStyle name="Pourcentage 5 3 3 5" xfId="4959"/>
    <cellStyle name="Pourcentage 5 3 4" xfId="628"/>
    <cellStyle name="Pourcentage 5 3 4 2" xfId="1541"/>
    <cellStyle name="Pourcentage 5 3 4 2 2" xfId="3829"/>
    <cellStyle name="Pourcentage 5 3 4 2 3" xfId="6049"/>
    <cellStyle name="Pourcentage 5 3 4 3" xfId="2926"/>
    <cellStyle name="Pourcentage 5 3 4 4" xfId="5146"/>
    <cellStyle name="Pourcentage 5 3 5" xfId="818"/>
    <cellStyle name="Pourcentage 5 3 5 2" xfId="1729"/>
    <cellStyle name="Pourcentage 5 3 5 2 2" xfId="4017"/>
    <cellStyle name="Pourcentage 5 3 5 2 3" xfId="6237"/>
    <cellStyle name="Pourcentage 5 3 5 3" xfId="3114"/>
    <cellStyle name="Pourcentage 5 3 5 4" xfId="5334"/>
    <cellStyle name="Pourcentage 5 3 6" xfId="1003"/>
    <cellStyle name="Pourcentage 5 3 6 2" xfId="1914"/>
    <cellStyle name="Pourcentage 5 3 6 2 2" xfId="4202"/>
    <cellStyle name="Pourcentage 5 3 6 2 3" xfId="6422"/>
    <cellStyle name="Pourcentage 5 3 6 3" xfId="3299"/>
    <cellStyle name="Pourcentage 5 3 6 4" xfId="5519"/>
    <cellStyle name="Pourcentage 5 3 7" xfId="2179"/>
    <cellStyle name="Pourcentage 5 3 7 2" xfId="4464"/>
    <cellStyle name="Pourcentage 5 3 7 3" xfId="6684"/>
    <cellStyle name="Pourcentage 5 3 8" xfId="1056"/>
    <cellStyle name="Pourcentage 5 3 8 2" xfId="3348"/>
    <cellStyle name="Pourcentage 5 3 8 3" xfId="5568"/>
    <cellStyle name="Pourcentage 5 3 9" xfId="2445"/>
    <cellStyle name="Pourcentage 5 4" xfId="62"/>
    <cellStyle name="Pourcentage 5 4 10" xfId="4674"/>
    <cellStyle name="Pourcentage 5 4 11" xfId="7033"/>
    <cellStyle name="Pourcentage 5 4 12" xfId="7219"/>
    <cellStyle name="Pourcentage 5 4 2" xfId="144"/>
    <cellStyle name="Pourcentage 5 4 2 10" xfId="7034"/>
    <cellStyle name="Pourcentage 5 4 2 11" xfId="7220"/>
    <cellStyle name="Pourcentage 5 4 2 2" xfId="430"/>
    <cellStyle name="Pourcentage 5 4 2 2 2" xfId="2355"/>
    <cellStyle name="Pourcentage 5 4 2 2 2 2" xfId="4561"/>
    <cellStyle name="Pourcentage 5 4 2 2 2 3" xfId="6781"/>
    <cellStyle name="Pourcentage 5 4 2 2 3" xfId="1357"/>
    <cellStyle name="Pourcentage 5 4 2 2 3 2" xfId="3645"/>
    <cellStyle name="Pourcentage 5 4 2 2 3 3" xfId="5865"/>
    <cellStyle name="Pourcentage 5 4 2 2 4" xfId="2742"/>
    <cellStyle name="Pourcentage 5 4 2 2 5" xfId="4962"/>
    <cellStyle name="Pourcentage 5 4 2 3" xfId="631"/>
    <cellStyle name="Pourcentage 5 4 2 3 2" xfId="1544"/>
    <cellStyle name="Pourcentage 5 4 2 3 2 2" xfId="3832"/>
    <cellStyle name="Pourcentage 5 4 2 3 2 3" xfId="6052"/>
    <cellStyle name="Pourcentage 5 4 2 3 3" xfId="2929"/>
    <cellStyle name="Pourcentage 5 4 2 3 4" xfId="5149"/>
    <cellStyle name="Pourcentage 5 4 2 4" xfId="821"/>
    <cellStyle name="Pourcentage 5 4 2 4 2" xfId="1732"/>
    <cellStyle name="Pourcentage 5 4 2 4 2 2" xfId="4020"/>
    <cellStyle name="Pourcentage 5 4 2 4 2 3" xfId="6240"/>
    <cellStyle name="Pourcentage 5 4 2 4 3" xfId="3117"/>
    <cellStyle name="Pourcentage 5 4 2 4 4" xfId="5337"/>
    <cellStyle name="Pourcentage 5 4 2 5" xfId="1006"/>
    <cellStyle name="Pourcentage 5 4 2 5 2" xfId="1917"/>
    <cellStyle name="Pourcentage 5 4 2 5 2 2" xfId="4205"/>
    <cellStyle name="Pourcentage 5 4 2 5 2 3" xfId="6425"/>
    <cellStyle name="Pourcentage 5 4 2 5 3" xfId="3302"/>
    <cellStyle name="Pourcentage 5 4 2 5 4" xfId="5522"/>
    <cellStyle name="Pourcentage 5 4 2 6" xfId="2182"/>
    <cellStyle name="Pourcentage 5 4 2 6 2" xfId="4467"/>
    <cellStyle name="Pourcentage 5 4 2 6 3" xfId="6687"/>
    <cellStyle name="Pourcentage 5 4 2 7" xfId="1148"/>
    <cellStyle name="Pourcentage 5 4 2 7 2" xfId="3439"/>
    <cellStyle name="Pourcentage 5 4 2 7 3" xfId="5659"/>
    <cellStyle name="Pourcentage 5 4 2 8" xfId="2536"/>
    <cellStyle name="Pourcentage 5 4 2 9" xfId="4755"/>
    <cellStyle name="Pourcentage 5 4 3" xfId="429"/>
    <cellStyle name="Pourcentage 5 4 3 2" xfId="1970"/>
    <cellStyle name="Pourcentage 5 4 3 2 2" xfId="4256"/>
    <cellStyle name="Pourcentage 5 4 3 2 3" xfId="6476"/>
    <cellStyle name="Pourcentage 5 4 3 3" xfId="1356"/>
    <cellStyle name="Pourcentage 5 4 3 3 2" xfId="3644"/>
    <cellStyle name="Pourcentage 5 4 3 3 3" xfId="5864"/>
    <cellStyle name="Pourcentage 5 4 3 4" xfId="2741"/>
    <cellStyle name="Pourcentage 5 4 3 5" xfId="4961"/>
    <cellStyle name="Pourcentage 5 4 4" xfId="630"/>
    <cellStyle name="Pourcentage 5 4 4 2" xfId="1543"/>
    <cellStyle name="Pourcentage 5 4 4 2 2" xfId="3831"/>
    <cellStyle name="Pourcentage 5 4 4 2 3" xfId="6051"/>
    <cellStyle name="Pourcentage 5 4 4 3" xfId="2928"/>
    <cellStyle name="Pourcentage 5 4 4 4" xfId="5148"/>
    <cellStyle name="Pourcentage 5 4 5" xfId="820"/>
    <cellStyle name="Pourcentage 5 4 5 2" xfId="1731"/>
    <cellStyle name="Pourcentage 5 4 5 2 2" xfId="4019"/>
    <cellStyle name="Pourcentage 5 4 5 2 3" xfId="6239"/>
    <cellStyle name="Pourcentage 5 4 5 3" xfId="3116"/>
    <cellStyle name="Pourcentage 5 4 5 4" xfId="5336"/>
    <cellStyle name="Pourcentage 5 4 6" xfId="1005"/>
    <cellStyle name="Pourcentage 5 4 6 2" xfId="1916"/>
    <cellStyle name="Pourcentage 5 4 6 2 2" xfId="4204"/>
    <cellStyle name="Pourcentage 5 4 6 2 3" xfId="6424"/>
    <cellStyle name="Pourcentage 5 4 6 3" xfId="3301"/>
    <cellStyle name="Pourcentage 5 4 6 4" xfId="5521"/>
    <cellStyle name="Pourcentage 5 4 7" xfId="2181"/>
    <cellStyle name="Pourcentage 5 4 7 2" xfId="4466"/>
    <cellStyle name="Pourcentage 5 4 7 3" xfId="6686"/>
    <cellStyle name="Pourcentage 5 4 8" xfId="1068"/>
    <cellStyle name="Pourcentage 5 4 8 2" xfId="3360"/>
    <cellStyle name="Pourcentage 5 4 8 3" xfId="5580"/>
    <cellStyle name="Pourcentage 5 4 9" xfId="2457"/>
    <cellStyle name="Pourcentage 5 5" xfId="74"/>
    <cellStyle name="Pourcentage 5 5 10" xfId="4686"/>
    <cellStyle name="Pourcentage 5 5 11" xfId="7035"/>
    <cellStyle name="Pourcentage 5 5 12" xfId="7221"/>
    <cellStyle name="Pourcentage 5 5 2" xfId="156"/>
    <cellStyle name="Pourcentage 5 5 2 10" xfId="7036"/>
    <cellStyle name="Pourcentage 5 5 2 11" xfId="7222"/>
    <cellStyle name="Pourcentage 5 5 2 2" xfId="432"/>
    <cellStyle name="Pourcentage 5 5 2 2 2" xfId="2356"/>
    <cellStyle name="Pourcentage 5 5 2 2 2 2" xfId="4562"/>
    <cellStyle name="Pourcentage 5 5 2 2 2 3" xfId="6782"/>
    <cellStyle name="Pourcentage 5 5 2 2 3" xfId="1359"/>
    <cellStyle name="Pourcentage 5 5 2 2 3 2" xfId="3647"/>
    <cellStyle name="Pourcentage 5 5 2 2 3 3" xfId="5867"/>
    <cellStyle name="Pourcentage 5 5 2 2 4" xfId="2744"/>
    <cellStyle name="Pourcentage 5 5 2 2 5" xfId="4964"/>
    <cellStyle name="Pourcentage 5 5 2 3" xfId="633"/>
    <cellStyle name="Pourcentage 5 5 2 3 2" xfId="1546"/>
    <cellStyle name="Pourcentage 5 5 2 3 2 2" xfId="3834"/>
    <cellStyle name="Pourcentage 5 5 2 3 2 3" xfId="6054"/>
    <cellStyle name="Pourcentage 5 5 2 3 3" xfId="2931"/>
    <cellStyle name="Pourcentage 5 5 2 3 4" xfId="5151"/>
    <cellStyle name="Pourcentage 5 5 2 4" xfId="823"/>
    <cellStyle name="Pourcentage 5 5 2 4 2" xfId="1734"/>
    <cellStyle name="Pourcentage 5 5 2 4 2 2" xfId="4022"/>
    <cellStyle name="Pourcentage 5 5 2 4 2 3" xfId="6242"/>
    <cellStyle name="Pourcentage 5 5 2 4 3" xfId="3119"/>
    <cellStyle name="Pourcentage 5 5 2 4 4" xfId="5339"/>
    <cellStyle name="Pourcentage 5 5 2 5" xfId="1008"/>
    <cellStyle name="Pourcentage 5 5 2 5 2" xfId="1919"/>
    <cellStyle name="Pourcentage 5 5 2 5 2 2" xfId="4207"/>
    <cellStyle name="Pourcentage 5 5 2 5 2 3" xfId="6427"/>
    <cellStyle name="Pourcentage 5 5 2 5 3" xfId="3304"/>
    <cellStyle name="Pourcentage 5 5 2 5 4" xfId="5524"/>
    <cellStyle name="Pourcentage 5 5 2 6" xfId="2184"/>
    <cellStyle name="Pourcentage 5 5 2 6 2" xfId="4469"/>
    <cellStyle name="Pourcentage 5 5 2 6 3" xfId="6689"/>
    <cellStyle name="Pourcentage 5 5 2 7" xfId="1160"/>
    <cellStyle name="Pourcentage 5 5 2 7 2" xfId="3451"/>
    <cellStyle name="Pourcentage 5 5 2 7 3" xfId="5671"/>
    <cellStyle name="Pourcentage 5 5 2 8" xfId="2548"/>
    <cellStyle name="Pourcentage 5 5 2 9" xfId="4767"/>
    <cellStyle name="Pourcentage 5 5 3" xfId="431"/>
    <cellStyle name="Pourcentage 5 5 3 2" xfId="2002"/>
    <cellStyle name="Pourcentage 5 5 3 2 2" xfId="4287"/>
    <cellStyle name="Pourcentage 5 5 3 2 3" xfId="6507"/>
    <cellStyle name="Pourcentage 5 5 3 3" xfId="1358"/>
    <cellStyle name="Pourcentage 5 5 3 3 2" xfId="3646"/>
    <cellStyle name="Pourcentage 5 5 3 3 3" xfId="5866"/>
    <cellStyle name="Pourcentage 5 5 3 4" xfId="2743"/>
    <cellStyle name="Pourcentage 5 5 3 5" xfId="4963"/>
    <cellStyle name="Pourcentage 5 5 4" xfId="632"/>
    <cellStyle name="Pourcentage 5 5 4 2" xfId="1545"/>
    <cellStyle name="Pourcentage 5 5 4 2 2" xfId="3833"/>
    <cellStyle name="Pourcentage 5 5 4 2 3" xfId="6053"/>
    <cellStyle name="Pourcentage 5 5 4 3" xfId="2930"/>
    <cellStyle name="Pourcentage 5 5 4 4" xfId="5150"/>
    <cellStyle name="Pourcentage 5 5 5" xfId="822"/>
    <cellStyle name="Pourcentage 5 5 5 2" xfId="1733"/>
    <cellStyle name="Pourcentage 5 5 5 2 2" xfId="4021"/>
    <cellStyle name="Pourcentage 5 5 5 2 3" xfId="6241"/>
    <cellStyle name="Pourcentage 5 5 5 3" xfId="3118"/>
    <cellStyle name="Pourcentage 5 5 5 4" xfId="5338"/>
    <cellStyle name="Pourcentage 5 5 6" xfId="1007"/>
    <cellStyle name="Pourcentage 5 5 6 2" xfId="1918"/>
    <cellStyle name="Pourcentage 5 5 6 2 2" xfId="4206"/>
    <cellStyle name="Pourcentage 5 5 6 2 3" xfId="6426"/>
    <cellStyle name="Pourcentage 5 5 6 3" xfId="3303"/>
    <cellStyle name="Pourcentage 5 5 6 4" xfId="5523"/>
    <cellStyle name="Pourcentage 5 5 7" xfId="2183"/>
    <cellStyle name="Pourcentage 5 5 7 2" xfId="4468"/>
    <cellStyle name="Pourcentage 5 5 7 3" xfId="6688"/>
    <cellStyle name="Pourcentage 5 5 8" xfId="1080"/>
    <cellStyle name="Pourcentage 5 5 8 2" xfId="3372"/>
    <cellStyle name="Pourcentage 5 5 8 3" xfId="5592"/>
    <cellStyle name="Pourcentage 5 5 9" xfId="2469"/>
    <cellStyle name="Pourcentage 5 6" xfId="86"/>
    <cellStyle name="Pourcentage 5 6 10" xfId="4698"/>
    <cellStyle name="Pourcentage 5 6 11" xfId="7037"/>
    <cellStyle name="Pourcentage 5 6 12" xfId="7223"/>
    <cellStyle name="Pourcentage 5 6 2" xfId="168"/>
    <cellStyle name="Pourcentage 5 6 2 10" xfId="7038"/>
    <cellStyle name="Pourcentage 5 6 2 11" xfId="7224"/>
    <cellStyle name="Pourcentage 5 6 2 2" xfId="434"/>
    <cellStyle name="Pourcentage 5 6 2 2 2" xfId="2357"/>
    <cellStyle name="Pourcentage 5 6 2 2 2 2" xfId="4563"/>
    <cellStyle name="Pourcentage 5 6 2 2 2 3" xfId="6783"/>
    <cellStyle name="Pourcentage 5 6 2 2 3" xfId="1361"/>
    <cellStyle name="Pourcentage 5 6 2 2 3 2" xfId="3649"/>
    <cellStyle name="Pourcentage 5 6 2 2 3 3" xfId="5869"/>
    <cellStyle name="Pourcentage 5 6 2 2 4" xfId="2746"/>
    <cellStyle name="Pourcentage 5 6 2 2 5" xfId="4966"/>
    <cellStyle name="Pourcentage 5 6 2 3" xfId="635"/>
    <cellStyle name="Pourcentage 5 6 2 3 2" xfId="1548"/>
    <cellStyle name="Pourcentage 5 6 2 3 2 2" xfId="3836"/>
    <cellStyle name="Pourcentage 5 6 2 3 2 3" xfId="6056"/>
    <cellStyle name="Pourcentage 5 6 2 3 3" xfId="2933"/>
    <cellStyle name="Pourcentage 5 6 2 3 4" xfId="5153"/>
    <cellStyle name="Pourcentage 5 6 2 4" xfId="825"/>
    <cellStyle name="Pourcentage 5 6 2 4 2" xfId="1736"/>
    <cellStyle name="Pourcentage 5 6 2 4 2 2" xfId="4024"/>
    <cellStyle name="Pourcentage 5 6 2 4 2 3" xfId="6244"/>
    <cellStyle name="Pourcentage 5 6 2 4 3" xfId="3121"/>
    <cellStyle name="Pourcentage 5 6 2 4 4" xfId="5341"/>
    <cellStyle name="Pourcentage 5 6 2 5" xfId="1010"/>
    <cellStyle name="Pourcentage 5 6 2 5 2" xfId="1921"/>
    <cellStyle name="Pourcentage 5 6 2 5 2 2" xfId="4209"/>
    <cellStyle name="Pourcentage 5 6 2 5 2 3" xfId="6429"/>
    <cellStyle name="Pourcentage 5 6 2 5 3" xfId="3306"/>
    <cellStyle name="Pourcentage 5 6 2 5 4" xfId="5526"/>
    <cellStyle name="Pourcentage 5 6 2 6" xfId="2186"/>
    <cellStyle name="Pourcentage 5 6 2 6 2" xfId="4471"/>
    <cellStyle name="Pourcentage 5 6 2 6 3" xfId="6691"/>
    <cellStyle name="Pourcentage 5 6 2 7" xfId="1172"/>
    <cellStyle name="Pourcentage 5 6 2 7 2" xfId="3463"/>
    <cellStyle name="Pourcentage 5 6 2 7 3" xfId="5683"/>
    <cellStyle name="Pourcentage 5 6 2 8" xfId="2560"/>
    <cellStyle name="Pourcentage 5 6 2 9" xfId="4779"/>
    <cellStyle name="Pourcentage 5 6 3" xfId="433"/>
    <cellStyle name="Pourcentage 5 6 3 2" xfId="1992"/>
    <cellStyle name="Pourcentage 5 6 3 2 2" xfId="4278"/>
    <cellStyle name="Pourcentage 5 6 3 2 3" xfId="6498"/>
    <cellStyle name="Pourcentage 5 6 3 3" xfId="1360"/>
    <cellStyle name="Pourcentage 5 6 3 3 2" xfId="3648"/>
    <cellStyle name="Pourcentage 5 6 3 3 3" xfId="5868"/>
    <cellStyle name="Pourcentage 5 6 3 4" xfId="2745"/>
    <cellStyle name="Pourcentage 5 6 3 5" xfId="4965"/>
    <cellStyle name="Pourcentage 5 6 4" xfId="634"/>
    <cellStyle name="Pourcentage 5 6 4 2" xfId="1547"/>
    <cellStyle name="Pourcentage 5 6 4 2 2" xfId="3835"/>
    <cellStyle name="Pourcentage 5 6 4 2 3" xfId="6055"/>
    <cellStyle name="Pourcentage 5 6 4 3" xfId="2932"/>
    <cellStyle name="Pourcentage 5 6 4 4" xfId="5152"/>
    <cellStyle name="Pourcentage 5 6 5" xfId="824"/>
    <cellStyle name="Pourcentage 5 6 5 2" xfId="1735"/>
    <cellStyle name="Pourcentage 5 6 5 2 2" xfId="4023"/>
    <cellStyle name="Pourcentage 5 6 5 2 3" xfId="6243"/>
    <cellStyle name="Pourcentage 5 6 5 3" xfId="3120"/>
    <cellStyle name="Pourcentage 5 6 5 4" xfId="5340"/>
    <cellStyle name="Pourcentage 5 6 6" xfId="1009"/>
    <cellStyle name="Pourcentage 5 6 6 2" xfId="1920"/>
    <cellStyle name="Pourcentage 5 6 6 2 2" xfId="4208"/>
    <cellStyle name="Pourcentage 5 6 6 2 3" xfId="6428"/>
    <cellStyle name="Pourcentage 5 6 6 3" xfId="3305"/>
    <cellStyle name="Pourcentage 5 6 6 4" xfId="5525"/>
    <cellStyle name="Pourcentage 5 6 7" xfId="2185"/>
    <cellStyle name="Pourcentage 5 6 7 2" xfId="4470"/>
    <cellStyle name="Pourcentage 5 6 7 3" xfId="6690"/>
    <cellStyle name="Pourcentage 5 6 8" xfId="1092"/>
    <cellStyle name="Pourcentage 5 6 8 2" xfId="3384"/>
    <cellStyle name="Pourcentage 5 6 8 3" xfId="5604"/>
    <cellStyle name="Pourcentage 5 6 9" xfId="2481"/>
    <cellStyle name="Pourcentage 5 7" xfId="109"/>
    <cellStyle name="Pourcentage 5 7 10" xfId="7039"/>
    <cellStyle name="Pourcentage 5 7 11" xfId="7225"/>
    <cellStyle name="Pourcentage 5 7 2" xfId="435"/>
    <cellStyle name="Pourcentage 5 7 2 2" xfId="1931"/>
    <cellStyle name="Pourcentage 5 7 2 2 2" xfId="4219"/>
    <cellStyle name="Pourcentage 5 7 2 2 3" xfId="6439"/>
    <cellStyle name="Pourcentage 5 7 2 3" xfId="1362"/>
    <cellStyle name="Pourcentage 5 7 2 3 2" xfId="3650"/>
    <cellStyle name="Pourcentage 5 7 2 3 3" xfId="5870"/>
    <cellStyle name="Pourcentage 5 7 2 4" xfId="2747"/>
    <cellStyle name="Pourcentage 5 7 2 5" xfId="4967"/>
    <cellStyle name="Pourcentage 5 7 3" xfId="636"/>
    <cellStyle name="Pourcentage 5 7 3 2" xfId="1549"/>
    <cellStyle name="Pourcentage 5 7 3 2 2" xfId="3837"/>
    <cellStyle name="Pourcentage 5 7 3 2 3" xfId="6057"/>
    <cellStyle name="Pourcentage 5 7 3 3" xfId="2934"/>
    <cellStyle name="Pourcentage 5 7 3 4" xfId="5154"/>
    <cellStyle name="Pourcentage 5 7 4" xfId="826"/>
    <cellStyle name="Pourcentage 5 7 4 2" xfId="1737"/>
    <cellStyle name="Pourcentage 5 7 4 2 2" xfId="4025"/>
    <cellStyle name="Pourcentage 5 7 4 2 3" xfId="6245"/>
    <cellStyle name="Pourcentage 5 7 4 3" xfId="3122"/>
    <cellStyle name="Pourcentage 5 7 4 4" xfId="5342"/>
    <cellStyle name="Pourcentage 5 7 5" xfId="1011"/>
    <cellStyle name="Pourcentage 5 7 5 2" xfId="1922"/>
    <cellStyle name="Pourcentage 5 7 5 2 2" xfId="4210"/>
    <cellStyle name="Pourcentage 5 7 5 2 3" xfId="6430"/>
    <cellStyle name="Pourcentage 5 7 5 3" xfId="3307"/>
    <cellStyle name="Pourcentage 5 7 5 4" xfId="5527"/>
    <cellStyle name="Pourcentage 5 7 6" xfId="2187"/>
    <cellStyle name="Pourcentage 5 7 6 2" xfId="4472"/>
    <cellStyle name="Pourcentage 5 7 6 3" xfId="6692"/>
    <cellStyle name="Pourcentage 5 7 7" xfId="1113"/>
    <cellStyle name="Pourcentage 5 7 7 2" xfId="3404"/>
    <cellStyle name="Pourcentage 5 7 7 3" xfId="5624"/>
    <cellStyle name="Pourcentage 5 7 8" xfId="2501"/>
    <cellStyle name="Pourcentage 5 7 9" xfId="4720"/>
    <cellStyle name="Pourcentage 5 8" xfId="422"/>
    <cellStyle name="Pourcentage 5 8 2" xfId="1983"/>
    <cellStyle name="Pourcentage 5 8 2 2" xfId="4269"/>
    <cellStyle name="Pourcentage 5 8 2 3" xfId="6489"/>
    <cellStyle name="Pourcentage 5 8 3" xfId="2255"/>
    <cellStyle name="Pourcentage 5 8 4" xfId="1349"/>
    <cellStyle name="Pourcentage 5 8 4 2" xfId="3637"/>
    <cellStyle name="Pourcentage 5 8 4 3" xfId="5857"/>
    <cellStyle name="Pourcentage 5 8 5" xfId="2734"/>
    <cellStyle name="Pourcentage 5 8 6" xfId="4954"/>
    <cellStyle name="Pourcentage 5 9" xfId="623"/>
    <cellStyle name="Pourcentage 5 9 2" xfId="2368"/>
    <cellStyle name="Pourcentage 5 9 2 2" xfId="4572"/>
    <cellStyle name="Pourcentage 5 9 2 3" xfId="6792"/>
    <cellStyle name="Pourcentage 5 9 3" xfId="1536"/>
    <cellStyle name="Pourcentage 5 9 3 2" xfId="3824"/>
    <cellStyle name="Pourcentage 5 9 3 3" xfId="6044"/>
    <cellStyle name="Pourcentage 5 9 4" xfId="2921"/>
    <cellStyle name="Pourcentage 5 9 5" xfId="5141"/>
    <cellStyle name="Pourcentage 6" xfId="97"/>
    <cellStyle name="Pourcentage 7" xfId="93"/>
    <cellStyle name="Pourcentage 7 2" xfId="436"/>
    <cellStyle name="Pourcentage 7 2 2" xfId="2358"/>
    <cellStyle name="Pourcentage 7 2 3" xfId="2273"/>
    <cellStyle name="Pourcentage 7 2 3 2" xfId="4494"/>
    <cellStyle name="Pourcentage 7 2 3 3" xfId="6713"/>
    <cellStyle name="Pourcentage 7 3" xfId="1933"/>
    <cellStyle name="Pourcentage 7 3 2" xfId="4221"/>
    <cellStyle name="Pourcentage 7 3 3" xfId="6441"/>
    <cellStyle name="Pourcentage 7 4" xfId="1099"/>
    <cellStyle name="Pourcentage 7 4 2" xfId="3391"/>
    <cellStyle name="Pourcentage 7 4 3" xfId="5611"/>
    <cellStyle name="Pourcentage 7 5" xfId="2488"/>
    <cellStyle name="Pourcentage 7 6" xfId="4705"/>
    <cellStyle name="Pourcentage 8" xfId="453"/>
    <cellStyle name="Pourcentage 8 10" xfId="7043"/>
    <cellStyle name="Pourcentage 8 11" xfId="7229"/>
    <cellStyle name="Pourcentage 8 2" xfId="640"/>
    <cellStyle name="Pourcentage 8 2 2" xfId="1553"/>
    <cellStyle name="Pourcentage 8 2 2 2" xfId="3841"/>
    <cellStyle name="Pourcentage 8 2 2 3" xfId="6061"/>
    <cellStyle name="Pourcentage 8 2 3" xfId="2938"/>
    <cellStyle name="Pourcentage 8 2 4" xfId="5158"/>
    <cellStyle name="Pourcentage 8 3" xfId="830"/>
    <cellStyle name="Pourcentage 8 3 2" xfId="1741"/>
    <cellStyle name="Pourcentage 8 3 2 2" xfId="4029"/>
    <cellStyle name="Pourcentage 8 3 2 3" xfId="6249"/>
    <cellStyle name="Pourcentage 8 3 3" xfId="3126"/>
    <cellStyle name="Pourcentage 8 3 4" xfId="5346"/>
    <cellStyle name="Pourcentage 8 4" xfId="1015"/>
    <cellStyle name="Pourcentage 8 4 2" xfId="1926"/>
    <cellStyle name="Pourcentage 8 4 2 2" xfId="4214"/>
    <cellStyle name="Pourcentage 8 4 2 3" xfId="6434"/>
    <cellStyle name="Pourcentage 8 4 3" xfId="3311"/>
    <cellStyle name="Pourcentage 8 4 4" xfId="5531"/>
    <cellStyle name="Pourcentage 8 5" xfId="2191"/>
    <cellStyle name="Pourcentage 8 5 2" xfId="4476"/>
    <cellStyle name="Pourcentage 8 5 3" xfId="6696"/>
    <cellStyle name="Pourcentage 8 6" xfId="2284"/>
    <cellStyle name="Pourcentage 8 7" xfId="1366"/>
    <cellStyle name="Pourcentage 8 7 2" xfId="3654"/>
    <cellStyle name="Pourcentage 8 7 3" xfId="5874"/>
    <cellStyle name="Pourcentage 8 8" xfId="2751"/>
    <cellStyle name="Pourcentage 8 9" xfId="4971"/>
    <cellStyle name="Pourcentage 9" xfId="178"/>
    <cellStyle name="Pourcentage000" xfId="2256"/>
    <cellStyle name="Pourcentage000000" xfId="2257"/>
    <cellStyle name="Pourcentage000000 2" xfId="4487"/>
    <cellStyle name="Pourcentage000000 3" xfId="4613"/>
    <cellStyle name="Pourcentage000000 4" xfId="6706"/>
    <cellStyle name="Pourcentage000000 5" xfId="6836"/>
    <cellStyle name="Pourcentage000000 6" xfId="6816"/>
    <cellStyle name="REGION" xfId="2258"/>
    <cellStyle name="REGION 2" xfId="4488"/>
    <cellStyle name="REGION 3" xfId="4610"/>
    <cellStyle name="REGION 4" xfId="6707"/>
    <cellStyle name="REGION 5" xfId="6833"/>
    <cellStyle name="REGION 6" xfId="6826"/>
    <cellStyle name="Rubrique" xfId="39"/>
    <cellStyle name="RubriqueImportante" xfId="180"/>
    <cellStyle name="Sans Sérif PS_CEP ddaf - V.1" xfId="437"/>
    <cellStyle name="Satisfaisant 2" xfId="438"/>
    <cellStyle name="Satisfaisant 2 2" xfId="2359"/>
    <cellStyle name="Satisfaisant 2 3" xfId="2260"/>
    <cellStyle name="Satisfaisant 3" xfId="2259"/>
    <cellStyle name="secteur" xfId="2261"/>
    <cellStyle name="section" xfId="2262"/>
    <cellStyle name="Section 2" xfId="1048"/>
    <cellStyle name="Sortie 2" xfId="439"/>
    <cellStyle name="Sortie 2 2" xfId="4601"/>
    <cellStyle name="Sortie 2 3" xfId="4623"/>
    <cellStyle name="Sortie 2 4" xfId="4577"/>
    <cellStyle name="Sortie 2 5" xfId="6820"/>
    <cellStyle name="Sortie 2 6" xfId="6817"/>
    <cellStyle name="Sortie 2 7" xfId="4707"/>
    <cellStyle name="Sortie 2 8" xfId="6825"/>
    <cellStyle name="SousArticle" xfId="1181"/>
    <cellStyle name="SousRubrique" xfId="2391"/>
    <cellStyle name="Sous-Total" xfId="2388"/>
    <cellStyle name="Sous-Total 2" xfId="4578"/>
    <cellStyle name="Sous-Total 3" xfId="4600"/>
    <cellStyle name="Sous-Total 4" xfId="6798"/>
    <cellStyle name="Sous-Total 5" xfId="6850"/>
    <cellStyle name="Sous-Total 6" xfId="4643"/>
    <cellStyle name="texte" xfId="2263"/>
    <cellStyle name="Texte explicatif 2" xfId="440"/>
    <cellStyle name="tf" xfId="2264"/>
    <cellStyle name="Title" xfId="441"/>
    <cellStyle name="Titre 2" xfId="442"/>
    <cellStyle name="Titre 1 2" xfId="443"/>
    <cellStyle name="Titre 2 2" xfId="444"/>
    <cellStyle name="Titre 3 2" xfId="445"/>
    <cellStyle name="Titre 4 2" xfId="446"/>
    <cellStyle name="Total 2" xfId="447"/>
    <cellStyle name="Total 2 2" xfId="4620"/>
    <cellStyle name="Total 2 3" xfId="4619"/>
    <cellStyle name="Total 2 4" xfId="4612"/>
    <cellStyle name="Total 2 5" xfId="6819"/>
    <cellStyle name="Total 2 6" xfId="6830"/>
    <cellStyle name="Total 2 7" xfId="6843"/>
    <cellStyle name="Total 2 8" xfId="4787"/>
    <cellStyle name="TRAITE" xfId="2265"/>
    <cellStyle name="traité" xfId="2266"/>
    <cellStyle name="Vérification 2" xfId="448"/>
    <cellStyle name="Warning Text" xfId="449"/>
  </cellStyles>
  <dxfs count="1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7A80C"/>
      <color rgb="FF99CC00"/>
      <color rgb="FF9FCDD9"/>
      <color rgb="FFFCBC5E"/>
      <color rgb="FF94B8EA"/>
      <color rgb="FF87C0CF"/>
      <color rgb="FF205AA8"/>
      <color rgb="FF597307"/>
      <color rgb="FF00FFFF"/>
      <color rgb="FF1A498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1504950</xdr:colOff>
          <xdr:row>0</xdr:row>
          <xdr:rowOff>200025</xdr:rowOff>
        </xdr:from>
        <xdr:to>
          <xdr:col>4</xdr:col>
          <xdr:colOff>304800</xdr:colOff>
          <xdr:row>1</xdr:row>
          <xdr:rowOff>57150</xdr:rowOff>
        </xdr:to>
        <xdr:sp macro="" textlink="">
          <xdr:nvSpPr>
            <xdr:cNvPr id="205825" name="Button 1" hidden="1">
              <a:extLst>
                <a:ext uri="{63B3BB69-23CF-44E3-9099-C40C66FF867C}">
                  <a14:compatExt spid="_x0000_s205825"/>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fr-FR" sz="1200" b="0" i="0" u="none" strike="noStrike" baseline="0">
                  <a:solidFill>
                    <a:srgbClr val="000000"/>
                  </a:solidFill>
                  <a:latin typeface="Arial"/>
                  <a:cs typeface="Arial"/>
                </a:rPr>
                <a:t>Impression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0</xdr:colOff>
          <xdr:row>66</xdr:row>
          <xdr:rowOff>95250</xdr:rowOff>
        </xdr:from>
        <xdr:to>
          <xdr:col>13</xdr:col>
          <xdr:colOff>0</xdr:colOff>
          <xdr:row>71</xdr:row>
          <xdr:rowOff>57150</xdr:rowOff>
        </xdr:to>
        <xdr:sp macro="" textlink="">
          <xdr:nvSpPr>
            <xdr:cNvPr id="205826" name="Button 2" hidden="1">
              <a:extLst>
                <a:ext uri="{63B3BB69-23CF-44E3-9099-C40C66FF867C}">
                  <a14:compatExt spid="_x0000_s2058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outon 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0</xdr:colOff>
          <xdr:row>74</xdr:row>
          <xdr:rowOff>209550</xdr:rowOff>
        </xdr:from>
        <xdr:to>
          <xdr:col>13</xdr:col>
          <xdr:colOff>0</xdr:colOff>
          <xdr:row>79</xdr:row>
          <xdr:rowOff>19050</xdr:rowOff>
        </xdr:to>
        <xdr:sp macro="" textlink="">
          <xdr:nvSpPr>
            <xdr:cNvPr id="205827" name="Button 3" hidden="1">
              <a:extLst>
                <a:ext uri="{63B3BB69-23CF-44E3-9099-C40C66FF867C}">
                  <a14:compatExt spid="_x0000_s20582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Bouton 19</a:t>
              </a:r>
            </a:p>
          </xdr:txBody>
        </xdr:sp>
        <xdr:clientData fPrintsWithSheet="0"/>
      </xdr:twoCellAnchor>
    </mc:Choice>
    <mc:Fallback/>
  </mc:AlternateContent>
  <xdr:twoCellAnchor editAs="oneCell">
    <xdr:from>
      <xdr:col>39</xdr:col>
      <xdr:colOff>0</xdr:colOff>
      <xdr:row>59</xdr:row>
      <xdr:rowOff>0</xdr:rowOff>
    </xdr:from>
    <xdr:to>
      <xdr:col>56</xdr:col>
      <xdr:colOff>667001</xdr:colOff>
      <xdr:row>84</xdr:row>
      <xdr:rowOff>222108</xdr:rowOff>
    </xdr:to>
    <xdr:pic>
      <xdr:nvPicPr>
        <xdr:cNvPr id="6" name="Image 5"/>
        <xdr:cNvPicPr>
          <a:picLocks noChangeAspect="1"/>
        </xdr:cNvPicPr>
      </xdr:nvPicPr>
      <xdr:blipFill>
        <a:blip xmlns:r="http://schemas.openxmlformats.org/officeDocument/2006/relationships" r:embed="rId1"/>
        <a:stretch>
          <a:fillRect/>
        </a:stretch>
      </xdr:blipFill>
      <xdr:spPr>
        <a:xfrm>
          <a:off x="49168050" y="16230600"/>
          <a:ext cx="10598401" cy="6870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1504950</xdr:colOff>
          <xdr:row>0</xdr:row>
          <xdr:rowOff>200025</xdr:rowOff>
        </xdr:from>
        <xdr:to>
          <xdr:col>4</xdr:col>
          <xdr:colOff>304800</xdr:colOff>
          <xdr:row>1</xdr:row>
          <xdr:rowOff>57150</xdr:rowOff>
        </xdr:to>
        <xdr:sp macro="" textlink="">
          <xdr:nvSpPr>
            <xdr:cNvPr id="206849" name="Button 1" hidden="1">
              <a:extLst>
                <a:ext uri="{63B3BB69-23CF-44E3-9099-C40C66FF867C}">
                  <a14:compatExt spid="_x0000_s206849"/>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fr-FR" sz="1200" b="0" i="0" u="none" strike="noStrike" baseline="0">
                  <a:solidFill>
                    <a:srgbClr val="000000"/>
                  </a:solidFill>
                  <a:latin typeface="Arial"/>
                  <a:cs typeface="Arial"/>
                </a:rPr>
                <a:t>Impression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70</xdr:row>
          <xdr:rowOff>76200</xdr:rowOff>
        </xdr:from>
        <xdr:to>
          <xdr:col>11</xdr:col>
          <xdr:colOff>0</xdr:colOff>
          <xdr:row>75</xdr:row>
          <xdr:rowOff>38100</xdr:rowOff>
        </xdr:to>
        <xdr:sp macro="" textlink="">
          <xdr:nvSpPr>
            <xdr:cNvPr id="206850" name="Button 2" hidden="1">
              <a:extLst>
                <a:ext uri="{63B3BB69-23CF-44E3-9099-C40C66FF867C}">
                  <a14:compatExt spid="_x0000_s20685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outon 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78</xdr:row>
          <xdr:rowOff>190500</xdr:rowOff>
        </xdr:from>
        <xdr:to>
          <xdr:col>11</xdr:col>
          <xdr:colOff>0</xdr:colOff>
          <xdr:row>82</xdr:row>
          <xdr:rowOff>161925</xdr:rowOff>
        </xdr:to>
        <xdr:sp macro="" textlink="">
          <xdr:nvSpPr>
            <xdr:cNvPr id="206851" name="Button 3" hidden="1">
              <a:extLst>
                <a:ext uri="{63B3BB69-23CF-44E3-9099-C40C66FF867C}">
                  <a14:compatExt spid="_x0000_s20685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Bouton 19</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w%20dossier%20Mtpl/CANGUILHEM%20Mathieu/Mission/CAHM/3.%20Work/technique/graph%20IL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LAUP%20Matthieu/Missions/Montpellier%20(CA)%20-%20Organisation%20Eau&amp;Asst%20-%20S12557/1_Sim&#233;o/Montpellier%20Agglo%20-%20Eau%20v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ew%20dossier%20Mtpl/CANGUILHEM%20Mathieu/Mission/AMCH/2.%20Work/envoi%20Pierre%2014%20juin/Analyse%20M49_transfert%20comp_AEP_AMCH_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ew%20dossier%20Mtpl/CANGUILHEM%20Mathieu/Mission/AMCH/2.%20Work/financier/Analyse%20M49_transfert%20comp_AEP_AMCH_v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TDB%20Asst%2006%20201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général"/>
      <sheetName val="Données "/>
      <sheetName val="Synthèse contrat "/>
      <sheetName val="DiagTecEau"/>
      <sheetName val="TdB"/>
      <sheetName val="Tableaux"/>
      <sheetName val="Sélection TdB"/>
      <sheetName val="Diag tec"/>
      <sheetName val="Réseau"/>
      <sheetName val="Production"/>
      <sheetName val="Stockage"/>
      <sheetName val="Reprise"/>
      <sheetName val="Gestion clientèle"/>
      <sheetName val="Hors site"/>
      <sheetName val="Synthèse 2"/>
      <sheetName val="CARE"/>
      <sheetName val="Analyses qualité"/>
      <sheetName val="Paramètres TdB"/>
      <sheetName val="Graphs"/>
      <sheetName val="Synthèse"/>
      <sheetName val="recap"/>
      <sheetName val="scénarios"/>
      <sheetName val="1 etblissement"/>
      <sheetName val="orga"/>
      <sheetName val="recap (2)"/>
    </sheetNames>
    <sheetDataSet>
      <sheetData sheetId="0"/>
      <sheetData sheetId="1"/>
      <sheetData sheetId="2"/>
      <sheetData sheetId="3"/>
      <sheetData sheetId="4"/>
      <sheetData sheetId="5"/>
      <sheetData sheetId="6"/>
      <sheetData sheetId="7"/>
      <sheetData sheetId="8">
        <row r="1">
          <cell r="A1" t="str">
            <v>Réseau</v>
          </cell>
          <cell r="C1" t="str">
            <v>Total réseau :</v>
          </cell>
        </row>
        <row r="2">
          <cell r="A2">
            <v>0</v>
          </cell>
        </row>
        <row r="3">
          <cell r="A3" t="str">
            <v>Réseau</v>
          </cell>
        </row>
        <row r="4">
          <cell r="A4" t="str">
            <v>Réseau</v>
          </cell>
        </row>
        <row r="5">
          <cell r="A5" t="str">
            <v>Réseau</v>
          </cell>
        </row>
        <row r="6">
          <cell r="A6" t="str">
            <v>Réseau</v>
          </cell>
        </row>
        <row r="7">
          <cell r="A7" t="str">
            <v>Réseau</v>
          </cell>
        </row>
        <row r="8">
          <cell r="A8" t="str">
            <v>Réseau</v>
          </cell>
        </row>
        <row r="9">
          <cell r="A9" t="str">
            <v>Réseau</v>
          </cell>
        </row>
        <row r="10">
          <cell r="A10" t="str">
            <v>Réseau</v>
          </cell>
        </row>
        <row r="11">
          <cell r="A11" t="str">
            <v>Réseau</v>
          </cell>
        </row>
        <row r="12">
          <cell r="A12" t="str">
            <v>Réseau</v>
          </cell>
        </row>
        <row r="13">
          <cell r="A13" t="str">
            <v>Réseau</v>
          </cell>
        </row>
        <row r="14">
          <cell r="A14" t="str">
            <v>Réseau</v>
          </cell>
        </row>
        <row r="15">
          <cell r="A15" t="str">
            <v>Réseau</v>
          </cell>
        </row>
        <row r="16">
          <cell r="A16" t="str">
            <v>Réseau</v>
          </cell>
        </row>
        <row r="17">
          <cell r="A17" t="str">
            <v>Réseau</v>
          </cell>
        </row>
        <row r="18">
          <cell r="A18" t="str">
            <v>Réseau</v>
          </cell>
        </row>
        <row r="19">
          <cell r="A19" t="str">
            <v>Réseau</v>
          </cell>
        </row>
        <row r="20">
          <cell r="A20" t="str">
            <v>Réseau</v>
          </cell>
        </row>
        <row r="21">
          <cell r="A21" t="str">
            <v>Réseau</v>
          </cell>
        </row>
        <row r="22">
          <cell r="A22" t="str">
            <v>Réseau</v>
          </cell>
        </row>
        <row r="23">
          <cell r="A23" t="str">
            <v>Réseau</v>
          </cell>
        </row>
        <row r="24">
          <cell r="A24" t="str">
            <v>Réseau</v>
          </cell>
        </row>
        <row r="25">
          <cell r="A25" t="str">
            <v>Réseau</v>
          </cell>
        </row>
        <row r="26">
          <cell r="A26" t="str">
            <v>Réseau</v>
          </cell>
        </row>
        <row r="27">
          <cell r="A27" t="str">
            <v>Réseau</v>
          </cell>
        </row>
        <row r="28">
          <cell r="A28" t="str">
            <v>Réseau</v>
          </cell>
        </row>
        <row r="29">
          <cell r="A29" t="str">
            <v>Réseau</v>
          </cell>
        </row>
        <row r="30">
          <cell r="A30" t="str">
            <v>Réseau</v>
          </cell>
        </row>
        <row r="31">
          <cell r="A31" t="str">
            <v>Réseau</v>
          </cell>
        </row>
        <row r="32">
          <cell r="A32" t="str">
            <v>Réseau</v>
          </cell>
        </row>
        <row r="33">
          <cell r="A33" t="str">
            <v>Réseau</v>
          </cell>
        </row>
        <row r="34">
          <cell r="A34" t="str">
            <v>Réseau</v>
          </cell>
        </row>
        <row r="35">
          <cell r="A35" t="str">
            <v>Réseau</v>
          </cell>
        </row>
        <row r="36">
          <cell r="A36" t="str">
            <v>Réseau</v>
          </cell>
        </row>
        <row r="37">
          <cell r="A37" t="str">
            <v>Réseau</v>
          </cell>
        </row>
        <row r="38">
          <cell r="A38" t="str">
            <v>Réseau</v>
          </cell>
        </row>
      </sheetData>
      <sheetData sheetId="9"/>
      <sheetData sheetId="10"/>
      <sheetData sheetId="11"/>
      <sheetData sheetId="12"/>
      <sheetData sheetId="13"/>
      <sheetData sheetId="14"/>
      <sheetData sheetId="15"/>
      <sheetData sheetId="16"/>
      <sheetData sheetId="17">
        <row r="4">
          <cell r="D4" t="str">
            <v>&amp;</v>
          </cell>
          <cell r="E4" t="str">
            <v>"</v>
          </cell>
          <cell r="F4" t="str">
            <v>(</v>
          </cell>
        </row>
        <row r="5">
          <cell r="D5" t="str">
            <v>SSS</v>
          </cell>
          <cell r="E5" t="str">
            <v>SS</v>
          </cell>
          <cell r="F5" t="str">
            <v>S</v>
          </cell>
        </row>
      </sheetData>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Paramètres"/>
      <sheetName val="Couts unitaires"/>
      <sheetName val="Inventaire et charges"/>
      <sheetName val="Plan prévisionnel de rnvt"/>
      <sheetName val="Ventilation des charges"/>
      <sheetName val="Recettes &amp; Equilibre du contrat"/>
      <sheetName val="Analyses"/>
      <sheetName val="Mise en forme"/>
      <sheetName val="Graphs"/>
      <sheetName val="CARE"/>
      <sheetName val="Synthèse audit financier (2)"/>
      <sheetName val="Synthèse audit financier"/>
      <sheetName val="Synthèse contrat "/>
      <sheetName val="Synthèse Agglo"/>
      <sheetName val="Calculs Agglo"/>
      <sheetName val="indicateurs de performance"/>
      <sheetName val="Diag_tech"/>
      <sheetName val="TCD TECH"/>
      <sheetName val="Synthèse contrat"/>
      <sheetName val="Commentaires"/>
      <sheetName val="Synthèse par contrat"/>
      <sheetName val="Montpellier Agglo - Eau v14"/>
    </sheetNames>
    <sheetDataSet>
      <sheetData sheetId="0"/>
      <sheetData sheetId="1">
        <row r="1">
          <cell r="B1" t="str">
            <v>Toutes les fonctions</v>
          </cell>
        </row>
        <row r="2">
          <cell r="B2" t="str">
            <v>Production</v>
          </cell>
        </row>
        <row r="3">
          <cell r="B3" t="str">
            <v>Stockage et reprise</v>
          </cell>
        </row>
        <row r="4">
          <cell r="B4" t="str">
            <v>Distribution</v>
          </cell>
        </row>
        <row r="5">
          <cell r="B5" t="str">
            <v>Gestion des abonnés</v>
          </cell>
        </row>
        <row r="6">
          <cell r="B6" t="str">
            <v>Administration</v>
          </cell>
        </row>
      </sheetData>
      <sheetData sheetId="2">
        <row r="1">
          <cell r="A1" t="str">
            <v>Coût unitaire</v>
          </cell>
          <cell r="B1" t="str">
            <v>Valeur</v>
          </cell>
          <cell r="C1" t="str">
            <v>Unité</v>
          </cell>
        </row>
        <row r="2">
          <cell r="A2" t="str">
            <v>coût forfaitaire</v>
          </cell>
          <cell r="B2">
            <v>1</v>
          </cell>
          <cell r="C2" t="str">
            <v>forfait</v>
          </cell>
        </row>
        <row r="3">
          <cell r="A3" t="str">
            <v>heure agent administratif</v>
          </cell>
          <cell r="B3">
            <v>25</v>
          </cell>
          <cell r="C3" t="str">
            <v>€/h</v>
          </cell>
        </row>
        <row r="4">
          <cell r="A4" t="str">
            <v>heure agent cadre</v>
          </cell>
          <cell r="B4">
            <v>50</v>
          </cell>
          <cell r="C4" t="str">
            <v>€/h</v>
          </cell>
        </row>
        <row r="5">
          <cell r="A5" t="str">
            <v>heure agent chimiste</v>
          </cell>
          <cell r="B5">
            <v>37</v>
          </cell>
          <cell r="C5" t="str">
            <v>€/h</v>
          </cell>
        </row>
        <row r="6">
          <cell r="A6" t="str">
            <v>heure agent de maintenance</v>
          </cell>
          <cell r="B6">
            <v>32</v>
          </cell>
          <cell r="C6" t="str">
            <v>€/h</v>
          </cell>
        </row>
        <row r="7">
          <cell r="A7" t="str">
            <v>heure agent d'exploitation</v>
          </cell>
          <cell r="B7">
            <v>28</v>
          </cell>
          <cell r="C7" t="str">
            <v>€/h</v>
          </cell>
        </row>
        <row r="8">
          <cell r="A8" t="str">
            <v>heure agent technicien</v>
          </cell>
          <cell r="B8">
            <v>30</v>
          </cell>
          <cell r="C8" t="str">
            <v>€/h</v>
          </cell>
        </row>
        <row r="9">
          <cell r="A9" t="str">
            <v>heure engins de TP</v>
          </cell>
          <cell r="B9">
            <v>45</v>
          </cell>
          <cell r="C9" t="str">
            <v>€/h</v>
          </cell>
        </row>
      </sheetData>
      <sheetData sheetId="3"/>
      <sheetData sheetId="4"/>
      <sheetData sheetId="5"/>
      <sheetData sheetId="6"/>
      <sheetData sheetId="7"/>
      <sheetData sheetId="8"/>
      <sheetData sheetId="9"/>
      <sheetData sheetId="10">
        <row r="8">
          <cell r="C8">
            <v>19303609</v>
          </cell>
        </row>
        <row r="66">
          <cell r="A66" t="str">
            <v>Compte</v>
          </cell>
          <cell r="B66" t="str">
            <v>(Plusieurs éléments)</v>
          </cell>
        </row>
        <row r="68">
          <cell r="A68" t="str">
            <v>Somme de TotalKeuros</v>
          </cell>
          <cell r="B68" t="str">
            <v>Commune</v>
          </cell>
        </row>
        <row r="69">
          <cell r="A69" t="str">
            <v>Fonction</v>
          </cell>
          <cell r="B69" t="str">
            <v>Grabels</v>
          </cell>
          <cell r="C69" t="str">
            <v>Jacou</v>
          </cell>
          <cell r="D69" t="str">
            <v>Lattes</v>
          </cell>
          <cell r="E69" t="str">
            <v>Le Crès</v>
          </cell>
          <cell r="F69" t="str">
            <v>Montferrier-sur-lez</v>
          </cell>
          <cell r="G69" t="str">
            <v>Montpellier - Juvignac</v>
          </cell>
          <cell r="H69" t="str">
            <v>Pérols</v>
          </cell>
          <cell r="I69" t="str">
            <v>Prades-le-lez</v>
          </cell>
          <cell r="J69" t="str">
            <v>Saint-Aunès</v>
          </cell>
          <cell r="K69" t="str">
            <v>Saint-Brès</v>
          </cell>
        </row>
        <row r="70">
          <cell r="A70" t="str">
            <v>Administration</v>
          </cell>
          <cell r="B70">
            <v>49.395199999999996</v>
          </cell>
          <cell r="C70">
            <v>56.734849999999994</v>
          </cell>
          <cell r="D70">
            <v>143.5591</v>
          </cell>
          <cell r="E70">
            <v>100.62075000000002</v>
          </cell>
          <cell r="F70">
            <v>47.764494999999997</v>
          </cell>
          <cell r="G70">
            <v>3918.8847999999998</v>
          </cell>
          <cell r="H70">
            <v>61.6633</v>
          </cell>
          <cell r="I70">
            <v>67.661100000000005</v>
          </cell>
          <cell r="J70">
            <v>33.972999999999999</v>
          </cell>
          <cell r="K70">
            <v>28.296915000000006</v>
          </cell>
        </row>
        <row r="71">
          <cell r="A71" t="str">
            <v>Gestion des abonnés</v>
          </cell>
          <cell r="B71">
            <v>32.735400000000013</v>
          </cell>
          <cell r="C71">
            <v>36.150525999999999</v>
          </cell>
          <cell r="D71">
            <v>86.38427200000001</v>
          </cell>
          <cell r="E71">
            <v>53.642716</v>
          </cell>
          <cell r="F71">
            <v>25.234411999999999</v>
          </cell>
          <cell r="G71">
            <v>661.12075600000003</v>
          </cell>
          <cell r="H71">
            <v>63.240589999999997</v>
          </cell>
          <cell r="I71">
            <v>31.314936000000003</v>
          </cell>
          <cell r="J71">
            <v>18.574065999999998</v>
          </cell>
          <cell r="K71">
            <v>22.646577999999998</v>
          </cell>
        </row>
        <row r="72">
          <cell r="A72" t="str">
            <v>Production</v>
          </cell>
          <cell r="B72">
            <v>113.61865333333333</v>
          </cell>
          <cell r="C72">
            <v>157.90314000000001</v>
          </cell>
          <cell r="D72">
            <v>15.88185925</v>
          </cell>
          <cell r="E72">
            <v>287.98075999999998</v>
          </cell>
          <cell r="F72">
            <v>68.801183999999992</v>
          </cell>
          <cell r="G72">
            <v>1145.6581779166668</v>
          </cell>
          <cell r="H72">
            <v>0</v>
          </cell>
          <cell r="I72">
            <v>12.919499999999999</v>
          </cell>
          <cell r="J72">
            <v>81.129440000000002</v>
          </cell>
          <cell r="K72">
            <v>18.469865000000002</v>
          </cell>
        </row>
        <row r="73">
          <cell r="A73" t="str">
            <v>Stockage et reprise</v>
          </cell>
          <cell r="B73">
            <v>8.688441666666666</v>
          </cell>
          <cell r="C73">
            <v>27.234899999999996</v>
          </cell>
          <cell r="D73">
            <v>36.602045000000004</v>
          </cell>
          <cell r="E73">
            <v>21.362375000000004</v>
          </cell>
          <cell r="F73">
            <v>20.744145000000003</v>
          </cell>
          <cell r="G73">
            <v>504.20097750000002</v>
          </cell>
          <cell r="H73">
            <v>0</v>
          </cell>
          <cell r="I73">
            <v>38.060517500000003</v>
          </cell>
          <cell r="J73">
            <v>26.915970000000005</v>
          </cell>
          <cell r="K73">
            <v>11.151075000000001</v>
          </cell>
        </row>
        <row r="74">
          <cell r="A74" t="str">
            <v>Distribution</v>
          </cell>
          <cell r="B74">
            <v>26.133999999999997</v>
          </cell>
          <cell r="C74">
            <v>40.017199999999995</v>
          </cell>
          <cell r="D74">
            <v>138.38940000000002</v>
          </cell>
          <cell r="E74">
            <v>59.414999999999985</v>
          </cell>
          <cell r="F74">
            <v>35.025800000000004</v>
          </cell>
          <cell r="G74">
            <v>957.05579999999986</v>
          </cell>
          <cell r="H74">
            <v>29.779599999999999</v>
          </cell>
          <cell r="I74">
            <v>52.17372000000001</v>
          </cell>
          <cell r="J74">
            <v>21.7836</v>
          </cell>
          <cell r="K74">
            <v>5.1151999999999989</v>
          </cell>
        </row>
        <row r="75">
          <cell r="A75" t="str">
            <v>Total général</v>
          </cell>
          <cell r="B75">
            <v>230.57169500000001</v>
          </cell>
          <cell r="C75">
            <v>318.040616</v>
          </cell>
          <cell r="D75">
            <v>420.81667625</v>
          </cell>
          <cell r="E75">
            <v>523.02160100000003</v>
          </cell>
          <cell r="F75">
            <v>197.57003600000002</v>
          </cell>
          <cell r="G75">
            <v>7186.9205114166662</v>
          </cell>
          <cell r="H75">
            <v>154.68348999999998</v>
          </cell>
          <cell r="I75">
            <v>202.1297735</v>
          </cell>
          <cell r="J75">
            <v>182.37607600000004</v>
          </cell>
          <cell r="K75">
            <v>85.67963300000001</v>
          </cell>
        </row>
      </sheetData>
      <sheetData sheetId="11"/>
      <sheetData sheetId="12"/>
      <sheetData sheetId="13">
        <row r="3">
          <cell r="AI3" t="str">
            <v>Protection de la ressource en eau</v>
          </cell>
        </row>
      </sheetData>
      <sheetData sheetId="14"/>
      <sheetData sheetId="15"/>
      <sheetData sheetId="16">
        <row r="2">
          <cell r="A2" t="str">
            <v>Saisie des communes</v>
          </cell>
        </row>
      </sheetData>
      <sheetData sheetId="17">
        <row r="1">
          <cell r="A1" t="str">
            <v>Saisie des communes</v>
          </cell>
        </row>
      </sheetData>
      <sheetData sheetId="18"/>
      <sheetData sheetId="19">
        <row r="10">
          <cell r="A10" t="str">
            <v>Montpellier - Juvignac</v>
          </cell>
        </row>
      </sheetData>
      <sheetData sheetId="20">
        <row r="2">
          <cell r="A2" t="str">
            <v>Grabels</v>
          </cell>
        </row>
      </sheetData>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 de base"/>
      <sheetName val="Hyp. prospé."/>
      <sheetName val="Hyp. prospe. détail"/>
      <sheetName val="Harmonisation"/>
      <sheetName val="Synthèse prospé."/>
      <sheetName val="Graphes prospe."/>
      <sheetName val="Charges regie F1"/>
      <sheetName val="Charges regie F2"/>
      <sheetName val="Charges invest F2"/>
      <sheetName val="Prix retro"/>
      <sheetName val="Rétro simplifié"/>
      <sheetName val="Rétro"/>
      <sheetName val="Fos"/>
      <sheetName val="Fouzilhon"/>
      <sheetName val="Gabian"/>
      <sheetName val="Montesquieu"/>
      <sheetName val="Neffiès"/>
      <sheetName val="Puimisson"/>
      <sheetName val="Roquessels"/>
      <sheetName val="Saint-Geniès"/>
      <sheetName val="Vailhan"/>
      <sheetName val="SRGO"/>
      <sheetName val="SIEVH"/>
      <sheetName val="Synthèse AEP"/>
      <sheetName val="Thézan Pailhès"/>
      <sheetName val="Murviel"/>
      <sheetName val="Puissalicon"/>
      <sheetName val="Causse"/>
      <sheetName val="Collectivité_n°16"/>
      <sheetName val="Collectivité_n°17"/>
      <sheetName val="Collectivité_n°18"/>
      <sheetName val="Collectivité_n°19"/>
      <sheetName val="Collectivité_n°20"/>
      <sheetName val="Prospé_harmonisée"/>
      <sheetName val="Emprunts existants"/>
      <sheetName val="Amort. &amp; Sub. existants"/>
      <sheetName val="Plan_Financement"/>
      <sheetName val="Amort. &amp; Sub. futurs"/>
      <sheetName val="Calcul Nouveaux Emprunts"/>
      <sheetName val="Feuil2"/>
    </sheetNames>
    <sheetDataSet>
      <sheetData sheetId="0">
        <row r="43">
          <cell r="C43">
            <v>10</v>
          </cell>
        </row>
        <row r="46">
          <cell r="C46">
            <v>2010</v>
          </cell>
        </row>
        <row r="47">
          <cell r="C47">
            <v>2012</v>
          </cell>
        </row>
        <row r="48">
          <cell r="C48">
            <v>2015</v>
          </cell>
        </row>
        <row r="49">
          <cell r="C49">
            <v>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 de base"/>
      <sheetName val="Hyp. prospé."/>
      <sheetName val="Hyp. prospe. détail"/>
      <sheetName val="Harmonisation"/>
      <sheetName val="Synthèse prospé."/>
      <sheetName val="Graphes prospe."/>
      <sheetName val="Charges regie F1"/>
      <sheetName val="Charges regie F2"/>
      <sheetName val="Charges invest F2"/>
      <sheetName val="Prix retro"/>
      <sheetName val="Rétro simplifié"/>
      <sheetName val="Rétro"/>
      <sheetName val="Synthèse AEP"/>
      <sheetName val="Fos"/>
      <sheetName val="Fouzilhon"/>
      <sheetName val="Gabian"/>
      <sheetName val="Montesquieu"/>
      <sheetName val="Neffiès"/>
      <sheetName val="Puimisson"/>
      <sheetName val="Roquessels"/>
      <sheetName val="Saint-Geniès"/>
      <sheetName val="Vailhan"/>
      <sheetName val="SRGO"/>
      <sheetName val="SIEVH"/>
      <sheetName val="Collectivité_n°12"/>
      <sheetName val="Collectivité_n°13"/>
      <sheetName val="Collectivité_n°14"/>
      <sheetName val="Collectivité_n°15"/>
      <sheetName val="Collectivité_n°16"/>
      <sheetName val="Collectivité_n°17"/>
      <sheetName val="Collectivité_n°18"/>
      <sheetName val="Collectivité_n°19"/>
      <sheetName val="Collectivité_n°20"/>
      <sheetName val="Prospé_harmonisée"/>
      <sheetName val="Emprunts existants"/>
      <sheetName val="Amort. &amp; Sub. existants"/>
      <sheetName val="Plan_Financement"/>
      <sheetName val="Amort. &amp; Sub. futurs"/>
      <sheetName val="Calcul Nouveaux Emprunts"/>
      <sheetName val="Feuil2"/>
    </sheetNames>
    <sheetDataSet>
      <sheetData sheetId="0">
        <row r="43">
          <cell r="C43">
            <v>10</v>
          </cell>
        </row>
        <row r="46">
          <cell r="C46">
            <v>2010</v>
          </cell>
        </row>
        <row r="47">
          <cell r="C47">
            <v>2012</v>
          </cell>
        </row>
        <row r="48">
          <cell r="C48">
            <v>2015</v>
          </cell>
        </row>
        <row r="49">
          <cell r="C49">
            <v>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brutes"/>
      <sheetName val="Sélection"/>
      <sheetName val="TdB"/>
      <sheetName val="Paramètres"/>
    </sheetNames>
    <sheetDataSet>
      <sheetData sheetId="0"/>
      <sheetData sheetId="1" refreshError="1"/>
      <sheetData sheetId="2" refreshError="1"/>
      <sheetData sheetId="3">
        <row r="3">
          <cell r="B3" t="str">
            <v>Collectivité</v>
          </cell>
        </row>
        <row r="4">
          <cell r="B4" t="str">
            <v>Nom collectivité</v>
          </cell>
        </row>
      </sheetData>
    </sheetDataSet>
  </externalBook>
</externalLink>
</file>

<file path=xl/theme/theme1.xml><?xml version="1.0" encoding="utf-8"?>
<a:theme xmlns:a="http://schemas.openxmlformats.org/drawingml/2006/main" name="Thème Office">
  <a:themeElements>
    <a:clrScheme name="SP2000">
      <a:dk1>
        <a:sysClr val="windowText" lastClr="000000"/>
      </a:dk1>
      <a:lt1>
        <a:sysClr val="window" lastClr="FFFFFF"/>
      </a:lt1>
      <a:dk2>
        <a:srgbClr val="1F549E"/>
      </a:dk2>
      <a:lt2>
        <a:srgbClr val="E31C19"/>
      </a:lt2>
      <a:accent1>
        <a:srgbClr val="009EE0"/>
      </a:accent1>
      <a:accent2>
        <a:srgbClr val="FFCC00"/>
      </a:accent2>
      <a:accent3>
        <a:srgbClr val="97BF0D"/>
      </a:accent3>
      <a:accent4>
        <a:srgbClr val="A64D94"/>
      </a:accent4>
      <a:accent5>
        <a:srgbClr val="EE7F46"/>
      </a:accent5>
      <a:accent6>
        <a:srgbClr val="945F4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O46"/>
  <sheetViews>
    <sheetView zoomScale="70" zoomScaleNormal="70" workbookViewId="0">
      <pane xSplit="1" ySplit="1" topLeftCell="B2" activePane="bottomRight" state="frozen"/>
      <selection pane="topRight" activeCell="B1" sqref="B1"/>
      <selection pane="bottomLeft" activeCell="A2" sqref="A2"/>
      <selection pane="bottomRight" activeCell="A2" sqref="A2:B16"/>
    </sheetView>
  </sheetViews>
  <sheetFormatPr baseColWidth="10" defaultRowHeight="12.75"/>
  <cols>
    <col min="1" max="1" width="26.42578125" bestFit="1" customWidth="1"/>
    <col min="2" max="6" width="26.42578125" style="82" bestFit="1" customWidth="1"/>
    <col min="7" max="7" width="26.42578125" style="82" customWidth="1"/>
    <col min="8" max="8" width="49.28515625" style="82" bestFit="1" customWidth="1"/>
    <col min="9" max="10" width="43.42578125" style="82" bestFit="1" customWidth="1"/>
    <col min="11" max="11" width="81.7109375" bestFit="1" customWidth="1"/>
    <col min="13" max="13" width="46" bestFit="1" customWidth="1"/>
    <col min="15" max="15" width="11.42578125" style="82"/>
  </cols>
  <sheetData>
    <row r="1" spans="1:15" ht="15.75">
      <c r="A1" s="3" t="s">
        <v>101</v>
      </c>
      <c r="B1" s="3" t="s">
        <v>102</v>
      </c>
      <c r="C1" s="3" t="s">
        <v>103</v>
      </c>
      <c r="D1" s="3" t="s">
        <v>104</v>
      </c>
      <c r="E1" s="3" t="s">
        <v>105</v>
      </c>
      <c r="F1" s="3" t="s">
        <v>106</v>
      </c>
      <c r="G1" s="3" t="s">
        <v>107</v>
      </c>
      <c r="H1" s="3" t="s">
        <v>108</v>
      </c>
      <c r="I1" s="3" t="s">
        <v>109</v>
      </c>
      <c r="J1" s="3" t="s">
        <v>231</v>
      </c>
      <c r="K1" s="82" t="s">
        <v>108</v>
      </c>
      <c r="L1" s="82" t="s">
        <v>168</v>
      </c>
      <c r="M1" s="82" t="s">
        <v>109</v>
      </c>
      <c r="N1" s="82"/>
    </row>
    <row r="2" spans="1:15" ht="47.25">
      <c r="A2" s="294" t="s">
        <v>241</v>
      </c>
      <c r="B2" s="295" t="s">
        <v>258</v>
      </c>
      <c r="C2" s="3"/>
      <c r="D2" s="3"/>
      <c r="E2" s="3"/>
      <c r="F2" s="3"/>
      <c r="G2" s="3"/>
      <c r="H2" s="159" t="s">
        <v>794</v>
      </c>
      <c r="I2" s="159" t="s">
        <v>793</v>
      </c>
      <c r="J2" s="289"/>
      <c r="K2" s="291"/>
      <c r="L2" s="292"/>
      <c r="M2" s="292"/>
      <c r="N2" s="292"/>
    </row>
    <row r="3" spans="1:15" ht="31.5">
      <c r="A3" s="294" t="s">
        <v>242</v>
      </c>
      <c r="B3" s="295" t="s">
        <v>259</v>
      </c>
      <c r="C3" s="3"/>
      <c r="D3" s="3"/>
      <c r="E3" s="3"/>
      <c r="F3" s="3"/>
      <c r="G3" s="3"/>
      <c r="H3" s="3" t="s">
        <v>810</v>
      </c>
      <c r="I3" s="159" t="s">
        <v>811</v>
      </c>
      <c r="J3" s="290"/>
      <c r="K3" s="291"/>
      <c r="L3" s="292"/>
      <c r="M3" s="292"/>
      <c r="N3" s="292"/>
    </row>
    <row r="4" spans="1:15" ht="15.75">
      <c r="A4" s="294" t="s">
        <v>243</v>
      </c>
      <c r="B4" s="295" t="s">
        <v>260</v>
      </c>
      <c r="C4" s="3"/>
      <c r="D4" s="3"/>
      <c r="E4" s="3"/>
      <c r="F4" s="3"/>
      <c r="G4" s="3"/>
      <c r="H4" s="3" t="s">
        <v>796</v>
      </c>
      <c r="I4" s="3" t="s">
        <v>795</v>
      </c>
      <c r="J4" s="289"/>
      <c r="K4" s="291"/>
      <c r="L4" s="292"/>
      <c r="M4" s="292"/>
      <c r="N4" s="292"/>
    </row>
    <row r="5" spans="1:15" ht="31.5">
      <c r="A5" s="294" t="s">
        <v>244</v>
      </c>
      <c r="B5" s="295" t="s">
        <v>261</v>
      </c>
      <c r="C5" s="3"/>
      <c r="D5" s="3"/>
      <c r="E5" s="3"/>
      <c r="F5" s="3"/>
      <c r="G5" s="3"/>
      <c r="H5" s="3"/>
      <c r="I5" s="159" t="s">
        <v>813</v>
      </c>
      <c r="J5" s="289"/>
      <c r="K5" s="292"/>
      <c r="L5" s="292"/>
      <c r="M5" s="291"/>
      <c r="N5" s="292"/>
    </row>
    <row r="6" spans="1:15" ht="47.25">
      <c r="A6" s="294" t="s">
        <v>245</v>
      </c>
      <c r="B6" s="295" t="s">
        <v>262</v>
      </c>
      <c r="C6" s="3"/>
      <c r="D6" s="3"/>
      <c r="E6" s="3"/>
      <c r="F6" s="3"/>
      <c r="G6" s="3"/>
      <c r="H6" s="3" t="s">
        <v>812</v>
      </c>
      <c r="I6" s="159" t="s">
        <v>816</v>
      </c>
      <c r="J6" s="289"/>
      <c r="K6" s="292"/>
      <c r="L6" s="292"/>
      <c r="M6" s="291"/>
      <c r="N6" s="292"/>
    </row>
    <row r="7" spans="1:15" ht="15.75">
      <c r="A7" s="294" t="s">
        <v>246</v>
      </c>
      <c r="B7" s="295" t="s">
        <v>263</v>
      </c>
      <c r="C7" s="3"/>
      <c r="D7" s="3"/>
      <c r="E7" s="3"/>
      <c r="F7" s="3"/>
      <c r="G7" s="3"/>
      <c r="H7" s="3" t="s">
        <v>809</v>
      </c>
      <c r="I7" s="3"/>
      <c r="J7" s="289"/>
      <c r="K7" s="291"/>
      <c r="L7" s="292"/>
      <c r="M7" s="291"/>
      <c r="N7" s="292"/>
    </row>
    <row r="8" spans="1:15" ht="15.75">
      <c r="A8" s="294" t="s">
        <v>247</v>
      </c>
      <c r="B8" s="295" t="s">
        <v>264</v>
      </c>
      <c r="C8" s="3"/>
      <c r="D8" s="3"/>
      <c r="E8" s="3"/>
      <c r="F8" s="3"/>
      <c r="G8" s="3"/>
      <c r="H8" s="3" t="s">
        <v>808</v>
      </c>
      <c r="I8" s="159" t="s">
        <v>807</v>
      </c>
      <c r="J8" s="290"/>
      <c r="K8" s="291"/>
      <c r="L8" s="292"/>
      <c r="M8" s="292"/>
      <c r="N8" s="292"/>
    </row>
    <row r="9" spans="1:15" ht="31.5">
      <c r="A9" s="294" t="s">
        <v>248</v>
      </c>
      <c r="B9" s="295" t="s">
        <v>265</v>
      </c>
      <c r="C9" s="3"/>
      <c r="D9" s="3"/>
      <c r="E9" s="3"/>
      <c r="F9" s="3"/>
      <c r="G9" s="3"/>
      <c r="H9" s="3" t="s">
        <v>806</v>
      </c>
      <c r="I9" s="159" t="s">
        <v>805</v>
      </c>
      <c r="J9" s="290"/>
      <c r="K9" s="291"/>
      <c r="L9" s="292"/>
      <c r="M9" s="291"/>
      <c r="N9" s="292"/>
    </row>
    <row r="10" spans="1:15" ht="15.75">
      <c r="A10" s="294" t="s">
        <v>249</v>
      </c>
      <c r="B10" s="295" t="s">
        <v>266</v>
      </c>
      <c r="C10" s="3"/>
      <c r="D10" s="3"/>
      <c r="E10" s="3"/>
      <c r="F10" s="3"/>
      <c r="G10" s="3"/>
      <c r="H10" s="3"/>
      <c r="I10" s="3" t="s">
        <v>804</v>
      </c>
      <c r="J10" s="289"/>
      <c r="K10" s="292"/>
      <c r="L10" s="292"/>
      <c r="M10" s="293"/>
      <c r="N10" s="292"/>
    </row>
    <row r="11" spans="1:15" ht="31.5">
      <c r="A11" s="294" t="s">
        <v>250</v>
      </c>
      <c r="B11" s="295" t="s">
        <v>267</v>
      </c>
      <c r="C11" s="3"/>
      <c r="D11" s="3"/>
      <c r="E11" s="3"/>
      <c r="F11" s="3"/>
      <c r="G11" s="3"/>
      <c r="H11" s="3"/>
      <c r="I11" s="159" t="s">
        <v>803</v>
      </c>
      <c r="J11" s="290"/>
      <c r="K11" s="292"/>
      <c r="L11" s="292"/>
      <c r="M11" s="292"/>
      <c r="N11" s="292"/>
    </row>
    <row r="12" spans="1:15" ht="31.5">
      <c r="A12" s="294" t="s">
        <v>251</v>
      </c>
      <c r="B12" s="295" t="s">
        <v>268</v>
      </c>
      <c r="C12" s="3"/>
      <c r="D12" s="3"/>
      <c r="E12" s="3"/>
      <c r="F12" s="3"/>
      <c r="G12" s="3"/>
      <c r="H12" s="3"/>
      <c r="I12" s="159" t="s">
        <v>802</v>
      </c>
      <c r="J12" s="290"/>
      <c r="K12" s="291"/>
      <c r="L12" s="292"/>
      <c r="M12" s="293"/>
      <c r="N12" s="292"/>
    </row>
    <row r="13" spans="1:15" s="2" customFormat="1" ht="15.75">
      <c r="A13" s="294" t="s">
        <v>252</v>
      </c>
      <c r="B13" s="295" t="s">
        <v>269</v>
      </c>
      <c r="C13" s="3"/>
      <c r="D13" s="3"/>
      <c r="E13" s="3"/>
      <c r="F13" s="3"/>
      <c r="G13" s="3"/>
      <c r="H13" s="3"/>
      <c r="I13" s="159" t="s">
        <v>801</v>
      </c>
      <c r="J13" s="290"/>
      <c r="K13" s="292"/>
      <c r="L13" s="292"/>
      <c r="M13" s="293"/>
      <c r="N13" s="292"/>
      <c r="O13" s="82"/>
    </row>
    <row r="14" spans="1:15" ht="15.75">
      <c r="A14" s="294" t="s">
        <v>253</v>
      </c>
      <c r="B14" s="295" t="s">
        <v>270</v>
      </c>
      <c r="C14" s="3"/>
      <c r="D14" s="3"/>
      <c r="E14" s="3"/>
      <c r="F14" s="3"/>
      <c r="G14" s="3"/>
      <c r="H14" s="3" t="s">
        <v>800</v>
      </c>
      <c r="I14" s="3"/>
      <c r="J14" s="3"/>
      <c r="K14" s="82"/>
      <c r="L14" s="82"/>
      <c r="M14" s="82"/>
    </row>
    <row r="15" spans="1:15" ht="15.75">
      <c r="A15" s="294" t="s">
        <v>254</v>
      </c>
      <c r="B15" s="295" t="s">
        <v>271</v>
      </c>
      <c r="C15" s="3"/>
      <c r="D15" s="3"/>
      <c r="E15" s="3"/>
      <c r="F15" s="3"/>
      <c r="G15" s="3"/>
      <c r="H15" s="3" t="s">
        <v>799</v>
      </c>
      <c r="I15" s="3" t="s">
        <v>798</v>
      </c>
      <c r="J15" s="3"/>
    </row>
    <row r="16" spans="1:15" ht="15.75">
      <c r="A16" s="294" t="s">
        <v>255</v>
      </c>
      <c r="B16" s="295" t="s">
        <v>272</v>
      </c>
      <c r="C16" s="3"/>
      <c r="D16" s="3"/>
      <c r="E16" s="3"/>
      <c r="F16" s="3"/>
      <c r="G16" s="3"/>
      <c r="H16" s="3"/>
      <c r="I16" s="159" t="s">
        <v>797</v>
      </c>
      <c r="J16" s="159"/>
      <c r="M16" s="1"/>
    </row>
    <row r="17" spans="1:10" ht="15.75">
      <c r="A17" s="294" t="s">
        <v>256</v>
      </c>
      <c r="B17" s="101"/>
      <c r="C17" s="3"/>
      <c r="D17" s="3"/>
      <c r="E17" s="3"/>
      <c r="F17" s="3"/>
      <c r="G17" s="3"/>
      <c r="H17" s="3" t="s">
        <v>815</v>
      </c>
      <c r="I17" s="3" t="s">
        <v>814</v>
      </c>
      <c r="J17" s="3"/>
    </row>
    <row r="18" spans="1:10" ht="15.75">
      <c r="A18" s="294" t="s">
        <v>257</v>
      </c>
      <c r="B18" s="101"/>
      <c r="C18" s="3"/>
      <c r="D18" s="3"/>
      <c r="E18" s="3"/>
      <c r="F18" s="3"/>
      <c r="G18" s="3"/>
      <c r="H18" s="3"/>
      <c r="I18" s="159"/>
      <c r="J18" s="159"/>
    </row>
    <row r="19" spans="1:10" ht="15.75">
      <c r="A19" s="3"/>
      <c r="B19" s="101"/>
      <c r="C19" s="3"/>
      <c r="D19" s="3"/>
      <c r="E19" s="3"/>
      <c r="F19" s="3"/>
      <c r="G19" s="3"/>
      <c r="H19" s="3"/>
      <c r="I19" s="159"/>
      <c r="J19" s="159"/>
    </row>
    <row r="20" spans="1:10" ht="15.75">
      <c r="A20" s="3"/>
      <c r="B20" s="101"/>
      <c r="C20" s="3"/>
      <c r="D20" s="3"/>
      <c r="E20" s="3"/>
      <c r="F20" s="3"/>
      <c r="G20" s="3"/>
      <c r="H20" s="3"/>
      <c r="I20" s="3"/>
      <c r="J20" s="3"/>
    </row>
    <row r="21" spans="1:10" ht="15.75">
      <c r="A21" s="3"/>
      <c r="B21" s="101"/>
      <c r="C21" s="3"/>
      <c r="D21" s="3"/>
      <c r="E21" s="3"/>
      <c r="F21" s="3"/>
      <c r="G21" s="3"/>
      <c r="H21" s="3"/>
      <c r="I21" s="3"/>
      <c r="J21" s="3"/>
    </row>
    <row r="22" spans="1:10" ht="15.75">
      <c r="A22" s="3"/>
      <c r="B22" s="101"/>
      <c r="C22" s="3"/>
      <c r="D22" s="3"/>
      <c r="E22" s="3"/>
      <c r="F22" s="3"/>
      <c r="G22" s="3"/>
      <c r="H22" s="3"/>
      <c r="I22" s="3"/>
      <c r="J22" s="3"/>
    </row>
    <row r="23" spans="1:10" ht="15.75">
      <c r="A23" s="3"/>
      <c r="B23" s="101"/>
      <c r="C23" s="3"/>
      <c r="D23" s="3"/>
      <c r="E23" s="3"/>
      <c r="F23" s="3"/>
      <c r="G23" s="3"/>
      <c r="H23" s="3"/>
      <c r="I23" s="3"/>
      <c r="J23" s="3"/>
    </row>
    <row r="24" spans="1:10" ht="15.75">
      <c r="A24" s="3"/>
      <c r="B24" s="101"/>
      <c r="C24" s="3"/>
      <c r="D24" s="3"/>
      <c r="E24" s="3"/>
      <c r="F24" s="3"/>
      <c r="G24" s="3"/>
      <c r="H24" s="3"/>
      <c r="I24" s="3"/>
      <c r="J24" s="3"/>
    </row>
    <row r="25" spans="1:10" ht="15.75">
      <c r="A25" s="3"/>
      <c r="B25" s="101"/>
      <c r="C25" s="3"/>
      <c r="D25" s="3"/>
      <c r="E25" s="3"/>
      <c r="F25" s="3"/>
      <c r="G25" s="3"/>
      <c r="H25" s="3"/>
      <c r="I25" s="159"/>
      <c r="J25" s="159"/>
    </row>
    <row r="26" spans="1:10" ht="15.75">
      <c r="A26" s="3"/>
      <c r="B26" s="101"/>
      <c r="C26" s="3"/>
      <c r="D26" s="3"/>
      <c r="E26" s="3"/>
      <c r="F26" s="3"/>
      <c r="G26" s="3"/>
      <c r="H26" s="159"/>
      <c r="I26" s="3"/>
      <c r="J26" s="3"/>
    </row>
    <row r="27" spans="1:10" ht="15.75">
      <c r="A27" s="3"/>
      <c r="B27" s="101"/>
      <c r="C27" s="3"/>
      <c r="D27" s="3"/>
      <c r="E27" s="3"/>
      <c r="F27" s="3"/>
      <c r="G27" s="3"/>
      <c r="H27" s="159"/>
      <c r="I27" s="3"/>
      <c r="J27" s="3"/>
    </row>
    <row r="28" spans="1:10" ht="15.75">
      <c r="A28" s="3"/>
      <c r="B28" s="101"/>
      <c r="C28" s="3"/>
      <c r="D28" s="3"/>
      <c r="E28" s="3"/>
      <c r="F28" s="3"/>
      <c r="G28" s="3"/>
      <c r="H28" s="3"/>
      <c r="I28" s="159"/>
      <c r="J28" s="159"/>
    </row>
    <row r="29" spans="1:10" ht="15.75">
      <c r="A29" s="3"/>
      <c r="B29" s="101"/>
      <c r="C29" s="3"/>
      <c r="D29" s="3"/>
      <c r="E29" s="3"/>
      <c r="F29" s="3"/>
      <c r="G29" s="3"/>
      <c r="H29" s="3"/>
      <c r="I29" s="3"/>
      <c r="J29" s="3"/>
    </row>
    <row r="30" spans="1:10" ht="15.75">
      <c r="A30" s="3"/>
      <c r="B30" s="101"/>
      <c r="C30" s="3"/>
      <c r="D30" s="3"/>
      <c r="E30" s="3"/>
      <c r="F30" s="3"/>
      <c r="G30" s="3"/>
      <c r="H30" s="3"/>
      <c r="I30" s="3"/>
      <c r="J30" s="3"/>
    </row>
    <row r="31" spans="1:10" ht="15.75">
      <c r="A31" s="3"/>
      <c r="B31" s="101"/>
      <c r="C31" s="3"/>
      <c r="D31" s="3"/>
      <c r="E31" s="3"/>
      <c r="F31" s="3"/>
      <c r="G31" s="3"/>
      <c r="H31" s="3"/>
      <c r="I31" s="159"/>
      <c r="J31" s="159"/>
    </row>
    <row r="32" spans="1:10" ht="15.75">
      <c r="A32" s="3"/>
      <c r="B32" s="101"/>
      <c r="C32" s="3"/>
      <c r="D32" s="3"/>
      <c r="E32" s="3"/>
      <c r="F32" s="3"/>
      <c r="G32" s="3"/>
      <c r="H32" s="3"/>
      <c r="I32" s="3"/>
      <c r="J32" s="3"/>
    </row>
    <row r="33" spans="1:10" ht="15.75">
      <c r="A33" s="3"/>
      <c r="B33" s="101"/>
      <c r="C33" s="3"/>
      <c r="D33" s="3"/>
      <c r="E33" s="3"/>
      <c r="F33" s="3"/>
      <c r="G33" s="3"/>
      <c r="H33" s="3"/>
      <c r="I33" s="159"/>
      <c r="J33" s="159"/>
    </row>
    <row r="34" spans="1:10" ht="15.75">
      <c r="A34" s="3"/>
      <c r="B34" s="101"/>
      <c r="C34" s="3"/>
      <c r="D34" s="3"/>
      <c r="E34" s="3"/>
      <c r="F34" s="3"/>
      <c r="G34" s="3"/>
      <c r="H34" s="159"/>
      <c r="I34" s="159"/>
      <c r="J34" s="159"/>
    </row>
    <row r="35" spans="1:10" ht="15.75">
      <c r="A35" s="3"/>
      <c r="B35" s="101"/>
      <c r="C35" s="3"/>
      <c r="D35" s="3"/>
      <c r="E35" s="3"/>
      <c r="F35" s="3"/>
      <c r="G35" s="3"/>
      <c r="H35" s="3"/>
      <c r="I35" s="3"/>
      <c r="J35" s="3"/>
    </row>
    <row r="36" spans="1:10" ht="15.75">
      <c r="A36" s="3"/>
      <c r="B36" s="101"/>
      <c r="C36" s="3"/>
      <c r="D36" s="3"/>
      <c r="E36" s="3"/>
      <c r="F36" s="3"/>
      <c r="G36" s="3"/>
      <c r="H36" s="3"/>
      <c r="I36" s="3"/>
      <c r="J36" s="3"/>
    </row>
    <row r="37" spans="1:10" ht="15.75">
      <c r="A37" s="3"/>
      <c r="B37" s="101"/>
      <c r="C37" s="3"/>
      <c r="D37" s="3"/>
      <c r="E37" s="3"/>
      <c r="F37" s="3"/>
      <c r="G37" s="3"/>
      <c r="H37" s="3"/>
      <c r="I37" s="3"/>
      <c r="J37" s="3"/>
    </row>
    <row r="38" spans="1:10" ht="15.75">
      <c r="A38" s="3"/>
      <c r="B38" s="101"/>
      <c r="C38" s="3"/>
      <c r="D38" s="3"/>
      <c r="E38" s="3"/>
      <c r="F38" s="3"/>
      <c r="G38" s="3"/>
      <c r="H38" s="3"/>
      <c r="I38" s="3"/>
      <c r="J38" s="3"/>
    </row>
    <row r="39" spans="1:10" ht="15.75">
      <c r="A39" s="3"/>
      <c r="B39" s="101"/>
      <c r="C39" s="3"/>
      <c r="D39" s="3"/>
      <c r="E39" s="3"/>
      <c r="F39" s="3"/>
      <c r="G39" s="3"/>
      <c r="H39" s="3"/>
      <c r="I39" s="159"/>
      <c r="J39" s="159"/>
    </row>
    <row r="40" spans="1:10" ht="15.75">
      <c r="A40" s="3"/>
      <c r="B40" s="101"/>
      <c r="C40" s="3"/>
      <c r="D40" s="3"/>
      <c r="E40" s="3"/>
      <c r="F40" s="3"/>
      <c r="G40" s="3"/>
      <c r="H40" s="3"/>
      <c r="I40" s="159"/>
      <c r="J40" s="159"/>
    </row>
    <row r="41" spans="1:10" ht="15.75">
      <c r="A41" s="3"/>
      <c r="B41" s="101"/>
      <c r="C41" s="3"/>
      <c r="D41" s="3"/>
      <c r="E41" s="3"/>
      <c r="F41" s="3"/>
      <c r="G41" s="3"/>
      <c r="H41" s="3"/>
      <c r="I41" s="159"/>
      <c r="J41" s="159"/>
    </row>
    <row r="42" spans="1:10" ht="15.75">
      <c r="A42" s="3"/>
      <c r="B42" s="101"/>
      <c r="C42" s="3"/>
      <c r="D42" s="3"/>
      <c r="E42" s="3"/>
      <c r="F42" s="3"/>
      <c r="G42" s="3"/>
      <c r="H42" s="3"/>
      <c r="I42" s="3"/>
      <c r="J42" s="3"/>
    </row>
    <row r="43" spans="1:10" ht="15.75">
      <c r="A43" s="3"/>
      <c r="B43" s="101"/>
      <c r="C43" s="3"/>
      <c r="D43" s="3"/>
      <c r="E43" s="3"/>
      <c r="F43" s="3"/>
      <c r="G43" s="3"/>
      <c r="H43" s="3"/>
      <c r="I43" s="3"/>
      <c r="J43" s="3"/>
    </row>
    <row r="44" spans="1:10" ht="15.75">
      <c r="A44" s="3"/>
      <c r="B44" s="101"/>
      <c r="C44" s="3"/>
      <c r="D44" s="3"/>
      <c r="E44" s="3"/>
      <c r="F44" s="3"/>
      <c r="G44" s="3"/>
      <c r="H44" s="3"/>
      <c r="I44" s="159"/>
      <c r="J44" s="159"/>
    </row>
    <row r="45" spans="1:10" ht="15.75">
      <c r="A45" s="3"/>
      <c r="B45" s="101"/>
      <c r="C45" s="3"/>
      <c r="D45" s="3"/>
      <c r="E45" s="3"/>
      <c r="F45" s="3"/>
      <c r="G45" s="3"/>
      <c r="H45" s="3"/>
      <c r="I45" s="3"/>
      <c r="J45" s="3"/>
    </row>
    <row r="46" spans="1:10" ht="15.75">
      <c r="A46" s="3"/>
      <c r="B46" s="101"/>
      <c r="C46" s="3"/>
      <c r="D46" s="3"/>
      <c r="E46" s="3"/>
      <c r="F46" s="3"/>
      <c r="G46" s="3"/>
      <c r="H46" s="3"/>
      <c r="I46" s="3"/>
      <c r="J46" s="3"/>
    </row>
  </sheetData>
  <autoFilter ref="A1:I46"/>
  <customSheetViews>
    <customSheetView guid="{4518AEAE-0338-44F7-B13D-6FFB345CA99A}" topLeftCell="A3">
      <selection activeCell="B9" sqref="B9:C22"/>
      <pageMargins left="0.78740157499999996" right="0.78740157499999996" top="0.984251969" bottom="0.984251969" header="0.4921259845" footer="0.4921259845"/>
      <pageSetup paperSize="9" orientation="portrait" verticalDpi="0" r:id="rId1"/>
      <headerFooter alignWithMargins="0"/>
    </customSheetView>
    <customSheetView guid="{E300E0FD-4796-42CC-8689-AD87B5D20A44}" topLeftCell="A3">
      <selection activeCell="B9" sqref="B9:C22"/>
      <pageMargins left="0.78740157499999996" right="0.78740157499999996" top="0.984251969" bottom="0.984251969" header="0.4921259845" footer="0.4921259845"/>
      <pageSetup paperSize="9" orientation="portrait" verticalDpi="0" r:id="rId2"/>
      <headerFooter alignWithMargins="0"/>
    </customSheetView>
  </customSheetViews>
  <phoneticPr fontId="25" type="noConversion"/>
  <pageMargins left="0.78740157499999996" right="0.78740157499999996" top="0.984251969" bottom="0.984251969" header="0.4921259845" footer="0.492125984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94B8EA"/>
  </sheetPr>
  <dimension ref="A1:E19"/>
  <sheetViews>
    <sheetView zoomScale="80" zoomScaleNormal="80" workbookViewId="0">
      <selection activeCell="D1" sqref="D1:D1048576"/>
    </sheetView>
  </sheetViews>
  <sheetFormatPr baseColWidth="10" defaultRowHeight="12.75"/>
  <cols>
    <col min="2" max="2" width="16.28515625" bestFit="1" customWidth="1"/>
    <col min="3" max="3" width="22.7109375" bestFit="1" customWidth="1"/>
    <col min="4" max="4" width="18" hidden="1" customWidth="1"/>
    <col min="5" max="5" width="18.7109375" customWidth="1"/>
  </cols>
  <sheetData>
    <row r="1" spans="1:5" s="82" customFormat="1">
      <c r="A1" s="82">
        <v>1</v>
      </c>
      <c r="B1" s="82">
        <v>2</v>
      </c>
      <c r="C1" s="82">
        <v>3</v>
      </c>
      <c r="D1" s="82">
        <v>4</v>
      </c>
      <c r="E1" s="82">
        <v>5</v>
      </c>
    </row>
    <row r="2" spans="1:5" s="328" customFormat="1" ht="25.5">
      <c r="A2" s="329" t="s">
        <v>4</v>
      </c>
      <c r="B2" s="329" t="s">
        <v>302</v>
      </c>
      <c r="C2" s="329" t="s">
        <v>303</v>
      </c>
      <c r="D2" s="329" t="s">
        <v>297</v>
      </c>
      <c r="E2" s="329" t="s">
        <v>330</v>
      </c>
    </row>
    <row r="3" spans="1:5">
      <c r="A3" s="560" t="str">
        <f>Liste_services!A4</f>
        <v>Beausoleil</v>
      </c>
      <c r="B3" s="560">
        <v>104</v>
      </c>
      <c r="C3" s="561" t="s">
        <v>287</v>
      </c>
      <c r="D3" s="560"/>
      <c r="E3" s="561" t="s">
        <v>280</v>
      </c>
    </row>
    <row r="4" spans="1:5">
      <c r="A4" s="560" t="str">
        <f>Liste_services!A12</f>
        <v>Breil</v>
      </c>
      <c r="B4" s="560">
        <v>45</v>
      </c>
      <c r="C4" s="561" t="s">
        <v>287</v>
      </c>
      <c r="D4" s="560"/>
      <c r="E4" s="561" t="s">
        <v>725</v>
      </c>
    </row>
    <row r="5" spans="1:5">
      <c r="A5" s="560" t="str">
        <f>Liste_services!A6</f>
        <v>Castellar</v>
      </c>
      <c r="B5" s="561" t="s">
        <v>280</v>
      </c>
      <c r="C5" s="561" t="s">
        <v>287</v>
      </c>
      <c r="D5" s="560"/>
      <c r="E5" s="561" t="s">
        <v>280</v>
      </c>
    </row>
    <row r="6" spans="1:5" ht="51">
      <c r="A6" s="560" t="str">
        <f>Liste_services!A9</f>
        <v>Castillon</v>
      </c>
      <c r="B6" s="561">
        <v>10</v>
      </c>
      <c r="C6" s="561" t="s">
        <v>287</v>
      </c>
      <c r="D6" s="560"/>
      <c r="E6" s="562" t="s">
        <v>488</v>
      </c>
    </row>
    <row r="7" spans="1:5">
      <c r="A7" s="560" t="str">
        <f>Liste_services!A15</f>
        <v>Fontan</v>
      </c>
      <c r="B7" s="561">
        <v>7</v>
      </c>
      <c r="C7" s="561" t="s">
        <v>287</v>
      </c>
      <c r="D7" s="560"/>
      <c r="E7" s="563">
        <v>0.28999999999999998</v>
      </c>
    </row>
    <row r="8" spans="1:5">
      <c r="A8" s="560" t="str">
        <f>Liste_services!A5</f>
        <v>Gorbio</v>
      </c>
      <c r="B8" s="561">
        <v>25</v>
      </c>
      <c r="C8" s="561" t="s">
        <v>510</v>
      </c>
      <c r="D8" s="560"/>
      <c r="E8" s="561" t="s">
        <v>280</v>
      </c>
    </row>
    <row r="9" spans="1:5">
      <c r="A9" s="560" t="str">
        <f>Liste_services!A14</f>
        <v>La Brigue</v>
      </c>
      <c r="B9" s="561" t="s">
        <v>280</v>
      </c>
      <c r="C9" s="561" t="s">
        <v>287</v>
      </c>
      <c r="D9" s="560"/>
      <c r="E9" s="561" t="s">
        <v>280</v>
      </c>
    </row>
    <row r="10" spans="1:5">
      <c r="A10" s="560" t="str">
        <f>Liste_services!A8</f>
        <v xml:space="preserve">La Turbie </v>
      </c>
      <c r="B10" s="561" t="s">
        <v>542</v>
      </c>
      <c r="C10" s="561" t="s">
        <v>543</v>
      </c>
      <c r="D10" s="560"/>
      <c r="E10" s="561" t="s">
        <v>544</v>
      </c>
    </row>
    <row r="11" spans="1:5" ht="51">
      <c r="A11" s="560" t="str">
        <f>Liste_services!A2</f>
        <v>Menton</v>
      </c>
      <c r="B11" s="560">
        <v>360</v>
      </c>
      <c r="C11" s="562" t="s">
        <v>826</v>
      </c>
      <c r="D11" s="560"/>
      <c r="E11" s="564">
        <v>0.83</v>
      </c>
    </row>
    <row r="12" spans="1:5">
      <c r="A12" s="560" t="str">
        <f>Liste_services!A11</f>
        <v>Moulinet</v>
      </c>
      <c r="B12" s="560">
        <v>5</v>
      </c>
      <c r="C12" s="561" t="s">
        <v>287</v>
      </c>
      <c r="D12" s="560"/>
      <c r="E12" s="563">
        <v>1</v>
      </c>
    </row>
    <row r="13" spans="1:5">
      <c r="A13" s="560" t="str">
        <f>Liste_services!A3</f>
        <v>Roquebrune</v>
      </c>
      <c r="B13" s="561" t="s">
        <v>420</v>
      </c>
      <c r="C13" s="561" t="s">
        <v>421</v>
      </c>
      <c r="D13" s="560"/>
      <c r="E13" s="561" t="s">
        <v>280</v>
      </c>
    </row>
    <row r="14" spans="1:5">
      <c r="A14" s="560" t="str">
        <f>Liste_services!A7</f>
        <v>Sainte Agnes</v>
      </c>
      <c r="B14" s="561" t="s">
        <v>280</v>
      </c>
      <c r="C14" s="561" t="s">
        <v>280</v>
      </c>
      <c r="D14" s="560"/>
      <c r="E14" s="561" t="s">
        <v>280</v>
      </c>
    </row>
    <row r="15" spans="1:5">
      <c r="A15" s="560" t="str">
        <f>Liste_services!A13</f>
        <v>Saorge</v>
      </c>
      <c r="B15" s="561" t="s">
        <v>280</v>
      </c>
      <c r="C15" s="561" t="s">
        <v>287</v>
      </c>
      <c r="D15" s="560"/>
      <c r="E15" s="561" t="s">
        <v>280</v>
      </c>
    </row>
    <row r="16" spans="1:5">
      <c r="A16" s="560" t="str">
        <f>Liste_services!A17</f>
        <v>SIECL</v>
      </c>
      <c r="B16" s="561" t="s">
        <v>619</v>
      </c>
      <c r="C16" s="561" t="s">
        <v>619</v>
      </c>
      <c r="D16" s="561" t="s">
        <v>619</v>
      </c>
      <c r="E16" s="561" t="s">
        <v>619</v>
      </c>
    </row>
    <row r="17" spans="1:5">
      <c r="A17" s="560" t="str">
        <f>Liste_services!A18</f>
        <v>SIVOM Villefranche</v>
      </c>
      <c r="B17" s="560"/>
      <c r="C17" s="560"/>
      <c r="D17" s="560"/>
      <c r="E17" s="560"/>
    </row>
    <row r="18" spans="1:5">
      <c r="A18" s="560" t="str">
        <f>Liste_services!A10</f>
        <v>Sospel</v>
      </c>
      <c r="B18" s="565" t="s">
        <v>280</v>
      </c>
      <c r="C18" s="565" t="s">
        <v>280</v>
      </c>
      <c r="D18" s="560"/>
      <c r="E18" s="565" t="s">
        <v>280</v>
      </c>
    </row>
    <row r="19" spans="1:5">
      <c r="A19" s="560" t="str">
        <f>Liste_services!A16</f>
        <v>Tende</v>
      </c>
      <c r="B19" s="561" t="s">
        <v>686</v>
      </c>
      <c r="C19" s="561" t="s">
        <v>151</v>
      </c>
      <c r="D19" s="561" t="s">
        <v>304</v>
      </c>
      <c r="E19" s="563">
        <v>1</v>
      </c>
    </row>
  </sheetData>
  <autoFilter ref="A2:E2">
    <sortState ref="A3:E19">
      <sortCondition ref="A2"/>
    </sortState>
  </autoFilter>
  <conditionalFormatting sqref="A3:E19">
    <cfRule type="cellIs" dxfId="0" priority="1" operator="equal">
      <formula>"nc"</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2" tint="0.59999389629810485"/>
  </sheetPr>
  <dimension ref="A1:T27"/>
  <sheetViews>
    <sheetView zoomScale="80" zoomScaleNormal="80" workbookViewId="0">
      <pane xSplit="1" ySplit="2" topLeftCell="B3" activePane="bottomRight" state="frozen"/>
      <selection pane="topRight" activeCell="B1" sqref="B1"/>
      <selection pane="bottomLeft" activeCell="A3" sqref="A3"/>
      <selection pane="bottomRight" activeCell="J13" sqref="J13"/>
    </sheetView>
  </sheetViews>
  <sheetFormatPr baseColWidth="10" defaultRowHeight="16.5"/>
  <cols>
    <col min="1" max="1" width="17.85546875" style="194" bestFit="1" customWidth="1"/>
    <col min="2" max="2" width="10.5703125" style="160" customWidth="1"/>
    <col min="3" max="3" width="12.42578125" style="160" customWidth="1"/>
    <col min="4" max="4" width="9.85546875" style="179" customWidth="1"/>
    <col min="5" max="5" width="10.7109375" style="195" customWidth="1"/>
    <col min="6" max="6" width="14.42578125" style="195" customWidth="1"/>
    <col min="7" max="7" width="17.7109375" style="195" customWidth="1"/>
    <col min="8" max="8" width="10.42578125" style="195" bestFit="1" customWidth="1"/>
    <col min="9" max="9" width="8.5703125" style="195" customWidth="1"/>
    <col min="10" max="10" width="18.42578125" style="194" bestFit="1" customWidth="1"/>
    <col min="11" max="11" width="11.42578125" style="194"/>
    <col min="12" max="13" width="18.42578125" style="194" bestFit="1" customWidth="1"/>
    <col min="14" max="14" width="18.42578125" style="481" customWidth="1"/>
    <col min="15" max="16" width="22.85546875" style="194" customWidth="1"/>
    <col min="17" max="16384" width="11.42578125" style="194"/>
  </cols>
  <sheetData>
    <row r="1" spans="1:20">
      <c r="A1" s="194">
        <v>1</v>
      </c>
      <c r="B1" s="195">
        <v>2</v>
      </c>
      <c r="C1" s="195">
        <v>3</v>
      </c>
      <c r="D1" s="195">
        <v>4</v>
      </c>
      <c r="E1" s="195">
        <v>5</v>
      </c>
      <c r="F1" s="195">
        <v>6</v>
      </c>
      <c r="G1" s="195">
        <v>7</v>
      </c>
      <c r="H1" s="195">
        <v>8</v>
      </c>
      <c r="I1" s="195">
        <v>9</v>
      </c>
      <c r="J1" s="195">
        <v>10</v>
      </c>
      <c r="K1" s="195">
        <v>11</v>
      </c>
      <c r="L1" s="195">
        <v>12</v>
      </c>
      <c r="M1" s="195">
        <v>13</v>
      </c>
      <c r="N1" s="478"/>
    </row>
    <row r="2" spans="1:20" ht="49.5">
      <c r="A2" s="200" t="s">
        <v>4</v>
      </c>
      <c r="B2" s="201" t="s">
        <v>177</v>
      </c>
      <c r="C2" s="201" t="s">
        <v>178</v>
      </c>
      <c r="D2" s="201" t="s">
        <v>131</v>
      </c>
      <c r="E2" s="201" t="s">
        <v>176</v>
      </c>
      <c r="F2" s="201" t="s">
        <v>212</v>
      </c>
      <c r="G2" s="201" t="s">
        <v>31</v>
      </c>
      <c r="H2" s="202" t="s">
        <v>179</v>
      </c>
      <c r="I2" s="202" t="s">
        <v>180</v>
      </c>
      <c r="J2" s="202" t="s">
        <v>131</v>
      </c>
      <c r="K2" s="202" t="s">
        <v>176</v>
      </c>
      <c r="L2" s="202" t="s">
        <v>212</v>
      </c>
      <c r="M2" s="202" t="s">
        <v>31</v>
      </c>
      <c r="N2" s="483" t="s">
        <v>159</v>
      </c>
      <c r="O2" s="421" t="s">
        <v>472</v>
      </c>
      <c r="P2" s="421" t="s">
        <v>473</v>
      </c>
      <c r="Q2" s="201" t="s">
        <v>848</v>
      </c>
      <c r="R2" s="201" t="s">
        <v>850</v>
      </c>
      <c r="S2" s="202" t="s">
        <v>849</v>
      </c>
      <c r="T2" s="202" t="s">
        <v>851</v>
      </c>
    </row>
    <row r="3" spans="1:20" ht="153">
      <c r="A3" s="203" t="str">
        <f>+Liste_services!A4</f>
        <v>Beausoleil</v>
      </c>
      <c r="B3" s="204">
        <v>0.5</v>
      </c>
      <c r="C3" s="204">
        <v>0.15</v>
      </c>
      <c r="D3" s="205">
        <f t="shared" ref="D3:D18" si="0">+B3+C3</f>
        <v>0.65</v>
      </c>
      <c r="E3" s="205"/>
      <c r="F3" s="205" t="s">
        <v>702</v>
      </c>
      <c r="G3" s="205" t="s">
        <v>664</v>
      </c>
      <c r="H3" s="206">
        <v>2</v>
      </c>
      <c r="I3" s="206">
        <v>0.15</v>
      </c>
      <c r="J3" s="207">
        <f t="shared" ref="J3:J17" si="1">+H3+I3</f>
        <v>2.15</v>
      </c>
      <c r="K3" s="207"/>
      <c r="L3" s="207" t="s">
        <v>705</v>
      </c>
      <c r="M3" s="207" t="s">
        <v>664</v>
      </c>
      <c r="N3" s="479"/>
      <c r="O3" s="422">
        <v>1</v>
      </c>
      <c r="P3" s="422">
        <v>0</v>
      </c>
      <c r="Q3" s="539" t="str">
        <f>Juridique_Eau!C3</f>
        <v>DSP</v>
      </c>
      <c r="R3" s="539">
        <f>Eau_technique!V4</f>
        <v>2532</v>
      </c>
      <c r="S3" s="539" t="str">
        <f>Juridique_Ass!C3</f>
        <v>Régie</v>
      </c>
      <c r="T3" s="539" t="str">
        <f>'Assainissement_technique '!F3</f>
        <v>nc</v>
      </c>
    </row>
    <row r="4" spans="1:20" ht="127.5">
      <c r="A4" s="203" t="str">
        <f>+Liste_services!A12</f>
        <v>Breil</v>
      </c>
      <c r="B4" s="204">
        <v>1.25</v>
      </c>
      <c r="C4" s="204">
        <v>0.2</v>
      </c>
      <c r="D4" s="205">
        <f t="shared" si="0"/>
        <v>1.45</v>
      </c>
      <c r="E4" s="205"/>
      <c r="F4" s="205" t="s">
        <v>704</v>
      </c>
      <c r="G4" s="205" t="s">
        <v>665</v>
      </c>
      <c r="H4" s="206">
        <v>0.15</v>
      </c>
      <c r="I4" s="206">
        <v>0.2</v>
      </c>
      <c r="J4" s="207">
        <f t="shared" si="1"/>
        <v>0.35</v>
      </c>
      <c r="K4" s="207"/>
      <c r="L4" s="207" t="s">
        <v>704</v>
      </c>
      <c r="M4" s="207" t="s">
        <v>665</v>
      </c>
      <c r="N4" s="479"/>
      <c r="O4" s="422">
        <v>1</v>
      </c>
      <c r="P4" s="422">
        <v>0</v>
      </c>
      <c r="Q4" s="539" t="str">
        <f>Juridique_Eau!C4</f>
        <v>Régie</v>
      </c>
      <c r="R4" s="539">
        <f>Eau_technique!V5</f>
        <v>1720</v>
      </c>
      <c r="S4" s="539" t="str">
        <f>Juridique_Ass!C4</f>
        <v>Régie</v>
      </c>
      <c r="T4" s="539">
        <f>'Assainissement_technique '!F4</f>
        <v>1380</v>
      </c>
    </row>
    <row r="5" spans="1:20" ht="127.5">
      <c r="A5" s="203" t="str">
        <f>+Liste_services!A6</f>
        <v>Castellar</v>
      </c>
      <c r="B5" s="204">
        <v>0.05</v>
      </c>
      <c r="C5" s="204">
        <v>0.05</v>
      </c>
      <c r="D5" s="205">
        <f t="shared" si="0"/>
        <v>0.1</v>
      </c>
      <c r="E5" s="205"/>
      <c r="F5" s="205" t="s">
        <v>703</v>
      </c>
      <c r="G5" s="205" t="s">
        <v>666</v>
      </c>
      <c r="H5" s="206">
        <v>0.05</v>
      </c>
      <c r="I5" s="206">
        <v>0.05</v>
      </c>
      <c r="J5" s="207">
        <f t="shared" si="1"/>
        <v>0.1</v>
      </c>
      <c r="K5" s="207"/>
      <c r="L5" s="207" t="s">
        <v>703</v>
      </c>
      <c r="M5" s="207" t="s">
        <v>666</v>
      </c>
      <c r="N5" s="479"/>
      <c r="O5" s="422">
        <v>0</v>
      </c>
      <c r="P5" s="422">
        <v>0</v>
      </c>
      <c r="Q5" s="539" t="str">
        <f>Juridique_Eau!C5</f>
        <v>Régie</v>
      </c>
      <c r="R5" s="539">
        <f>Eau_technique!V6</f>
        <v>300</v>
      </c>
      <c r="S5" s="539" t="str">
        <f>Juridique_Ass!C5</f>
        <v>régie</v>
      </c>
      <c r="T5" s="539">
        <f>'Assainissement_technique '!F5</f>
        <v>402.26748971193416</v>
      </c>
    </row>
    <row r="6" spans="1:20" ht="114.75">
      <c r="A6" s="203" t="str">
        <f>+Liste_services!A9</f>
        <v>Castillon</v>
      </c>
      <c r="B6" s="204">
        <v>0.1</v>
      </c>
      <c r="C6" s="204">
        <v>0.1</v>
      </c>
      <c r="D6" s="205">
        <f t="shared" si="0"/>
        <v>0.2</v>
      </c>
      <c r="E6" s="205"/>
      <c r="F6" s="205" t="s">
        <v>702</v>
      </c>
      <c r="G6" s="205" t="s">
        <v>667</v>
      </c>
      <c r="H6" s="206">
        <v>0.1</v>
      </c>
      <c r="I6" s="206">
        <v>0.1</v>
      </c>
      <c r="J6" s="207">
        <f t="shared" si="1"/>
        <v>0.2</v>
      </c>
      <c r="K6" s="207"/>
      <c r="L6" s="207" t="s">
        <v>704</v>
      </c>
      <c r="M6" s="207" t="s">
        <v>667</v>
      </c>
      <c r="N6" s="484"/>
      <c r="O6" s="422">
        <v>0</v>
      </c>
      <c r="P6" s="422">
        <v>0</v>
      </c>
      <c r="Q6" s="539" t="str">
        <f>Juridique_Eau!C6</f>
        <v>Régie</v>
      </c>
      <c r="R6" s="539">
        <f>Eau_technique!V7</f>
        <v>264</v>
      </c>
      <c r="S6" s="539" t="str">
        <f>Juridique_Ass!C6</f>
        <v>Régie</v>
      </c>
      <c r="T6" s="539">
        <f>'Assainissement_technique '!F6</f>
        <v>105</v>
      </c>
    </row>
    <row r="7" spans="1:20" ht="114.75">
      <c r="A7" s="203" t="str">
        <f>+Liste_services!A15</f>
        <v>Fontan</v>
      </c>
      <c r="B7" s="204">
        <v>7.4999999999999997E-2</v>
      </c>
      <c r="C7" s="204">
        <v>2.5000000000000001E-2</v>
      </c>
      <c r="D7" s="205">
        <f t="shared" si="0"/>
        <v>0.1</v>
      </c>
      <c r="E7" s="205"/>
      <c r="F7" s="205" t="s">
        <v>697</v>
      </c>
      <c r="G7" s="205" t="s">
        <v>668</v>
      </c>
      <c r="H7" s="206">
        <v>7.4999999999999997E-2</v>
      </c>
      <c r="I7" s="206">
        <v>2.5000000000000001E-2</v>
      </c>
      <c r="J7" s="207">
        <f t="shared" si="1"/>
        <v>0.1</v>
      </c>
      <c r="K7" s="207"/>
      <c r="L7" s="207" t="s">
        <v>697</v>
      </c>
      <c r="M7" s="207" t="s">
        <v>668</v>
      </c>
      <c r="N7" s="484"/>
      <c r="O7" s="422">
        <v>0</v>
      </c>
      <c r="P7" s="422">
        <v>0</v>
      </c>
      <c r="Q7" s="539" t="str">
        <f>Juridique_Eau!C7</f>
        <v>Régie</v>
      </c>
      <c r="R7" s="539">
        <f>Eau_technique!V8</f>
        <v>441</v>
      </c>
      <c r="S7" s="539" t="str">
        <f>Juridique_Ass!C7</f>
        <v>Régie</v>
      </c>
      <c r="T7" s="539">
        <f>'Assainissement_technique '!F7</f>
        <v>437</v>
      </c>
    </row>
    <row r="8" spans="1:20" ht="178.5">
      <c r="A8" s="203" t="str">
        <f>+Liste_services!A5</f>
        <v>Gorbio</v>
      </c>
      <c r="B8" s="204">
        <v>0</v>
      </c>
      <c r="C8" s="204">
        <v>0</v>
      </c>
      <c r="D8" s="205">
        <f t="shared" si="0"/>
        <v>0</v>
      </c>
      <c r="E8" s="205"/>
      <c r="F8" s="205" t="s">
        <v>702</v>
      </c>
      <c r="G8" s="205" t="s">
        <v>654</v>
      </c>
      <c r="H8" s="206">
        <v>0.05</v>
      </c>
      <c r="I8" s="206">
        <v>0.2</v>
      </c>
      <c r="J8" s="207">
        <f t="shared" si="1"/>
        <v>0.25</v>
      </c>
      <c r="K8" s="207"/>
      <c r="L8" s="207" t="s">
        <v>704</v>
      </c>
      <c r="M8" s="207" t="s">
        <v>669</v>
      </c>
      <c r="N8" s="484"/>
      <c r="O8" s="422">
        <v>0</v>
      </c>
      <c r="P8" s="422">
        <v>0</v>
      </c>
      <c r="Q8" s="539">
        <f>Juridique_Eau!C8</f>
        <v>0</v>
      </c>
      <c r="R8" s="539">
        <f>Eau_technique!V9</f>
        <v>0</v>
      </c>
      <c r="S8" s="539" t="str">
        <f>Juridique_Ass!C8</f>
        <v>Régie</v>
      </c>
      <c r="T8" s="539">
        <f>'Assainissement_technique '!F8</f>
        <v>539</v>
      </c>
    </row>
    <row r="9" spans="1:20" ht="114.75">
      <c r="A9" s="203" t="str">
        <f>+Liste_services!A14</f>
        <v>La Brigue</v>
      </c>
      <c r="B9" s="204">
        <v>0.75</v>
      </c>
      <c r="C9" s="204">
        <v>0.125</v>
      </c>
      <c r="D9" s="205">
        <f t="shared" si="0"/>
        <v>0.875</v>
      </c>
      <c r="E9" s="205"/>
      <c r="F9" s="205" t="s">
        <v>4</v>
      </c>
      <c r="G9" s="205" t="s">
        <v>727</v>
      </c>
      <c r="H9" s="206">
        <v>0.75</v>
      </c>
      <c r="I9" s="206">
        <v>0.125</v>
      </c>
      <c r="J9" s="207">
        <f t="shared" si="1"/>
        <v>0.875</v>
      </c>
      <c r="K9" s="207"/>
      <c r="L9" s="207" t="s">
        <v>4</v>
      </c>
      <c r="M9" s="207" t="s">
        <v>727</v>
      </c>
      <c r="N9" s="484"/>
      <c r="O9" s="422">
        <v>0</v>
      </c>
      <c r="P9" s="422">
        <v>0</v>
      </c>
      <c r="Q9" s="539" t="str">
        <f>Juridique_Eau!C9</f>
        <v>Régie</v>
      </c>
      <c r="R9" s="539" t="str">
        <f>Eau_technique!V10</f>
        <v>nc</v>
      </c>
      <c r="S9" s="539" t="str">
        <f>Juridique_Ass!C9</f>
        <v>Régie</v>
      </c>
      <c r="T9" s="539" t="str">
        <f>'Assainissement_technique '!F9</f>
        <v>nc</v>
      </c>
    </row>
    <row r="10" spans="1:20" ht="102">
      <c r="A10" s="203" t="str">
        <f>+Liste_services!A8</f>
        <v xml:space="preserve">La Turbie </v>
      </c>
      <c r="B10" s="204">
        <v>0</v>
      </c>
      <c r="C10" s="204">
        <v>0</v>
      </c>
      <c r="D10" s="205">
        <f t="shared" si="0"/>
        <v>0</v>
      </c>
      <c r="E10" s="205"/>
      <c r="F10" s="205" t="s">
        <v>702</v>
      </c>
      <c r="G10" s="205" t="s">
        <v>655</v>
      </c>
      <c r="H10" s="206">
        <v>0.3</v>
      </c>
      <c r="I10" s="206">
        <v>0.15</v>
      </c>
      <c r="J10" s="207">
        <f t="shared" si="1"/>
        <v>0.44999999999999996</v>
      </c>
      <c r="K10" s="207"/>
      <c r="L10" s="207" t="s">
        <v>397</v>
      </c>
      <c r="M10" s="207" t="s">
        <v>670</v>
      </c>
      <c r="N10" s="484"/>
      <c r="O10" s="422">
        <v>0</v>
      </c>
      <c r="P10" s="422">
        <v>0</v>
      </c>
      <c r="Q10" s="539">
        <f>Juridique_Eau!C10</f>
        <v>0</v>
      </c>
      <c r="R10" s="539">
        <f>Eau_technique!V11</f>
        <v>0</v>
      </c>
      <c r="S10" s="539" t="str">
        <f>Juridique_Ass!C10</f>
        <v>DSP</v>
      </c>
      <c r="T10" s="539">
        <f>'Assainissement_technique '!F10</f>
        <v>1521</v>
      </c>
    </row>
    <row r="11" spans="1:20" ht="114.75">
      <c r="A11" s="203" t="str">
        <f>+Liste_services!A2</f>
        <v>Menton</v>
      </c>
      <c r="B11" s="204">
        <v>2.25</v>
      </c>
      <c r="C11" s="204">
        <v>0.57499999999999996</v>
      </c>
      <c r="D11" s="205">
        <f t="shared" si="0"/>
        <v>2.8250000000000002</v>
      </c>
      <c r="E11" s="205"/>
      <c r="F11" s="205" t="s">
        <v>397</v>
      </c>
      <c r="G11" s="205" t="s">
        <v>671</v>
      </c>
      <c r="H11" s="206">
        <v>3.25</v>
      </c>
      <c r="I11" s="206">
        <v>0.57499999999999996</v>
      </c>
      <c r="J11" s="207">
        <f t="shared" si="1"/>
        <v>3.8250000000000002</v>
      </c>
      <c r="K11" s="207"/>
      <c r="L11" s="207" t="s">
        <v>397</v>
      </c>
      <c r="M11" s="207" t="s">
        <v>671</v>
      </c>
      <c r="N11" s="484" t="s">
        <v>647</v>
      </c>
      <c r="O11" s="422">
        <v>5</v>
      </c>
      <c r="P11" s="422">
        <v>1</v>
      </c>
      <c r="Q11" s="539" t="str">
        <f>Juridique_Eau!C11</f>
        <v>DSP</v>
      </c>
      <c r="R11" s="539">
        <f>Eau_technique!V12</f>
        <v>7695</v>
      </c>
      <c r="S11" s="539" t="str">
        <f>Juridique_Ass!C11</f>
        <v>DSP</v>
      </c>
      <c r="T11" s="539">
        <f>'Assainissement_technique '!F11</f>
        <v>8877</v>
      </c>
    </row>
    <row r="12" spans="1:20" ht="114.75">
      <c r="A12" s="203" t="str">
        <f>+Liste_services!A11</f>
        <v>Moulinet</v>
      </c>
      <c r="B12" s="204">
        <v>0.4</v>
      </c>
      <c r="C12" s="204">
        <v>2.5000000000000001E-2</v>
      </c>
      <c r="D12" s="205">
        <f t="shared" si="0"/>
        <v>0.42500000000000004</v>
      </c>
      <c r="E12" s="205"/>
      <c r="F12" s="205" t="s">
        <v>705</v>
      </c>
      <c r="G12" s="205" t="s">
        <v>672</v>
      </c>
      <c r="H12" s="206">
        <v>0.1</v>
      </c>
      <c r="I12" s="206">
        <v>2.5000000000000001E-2</v>
      </c>
      <c r="J12" s="207">
        <f t="shared" si="1"/>
        <v>0.125</v>
      </c>
      <c r="K12" s="207"/>
      <c r="L12" s="207" t="s">
        <v>705</v>
      </c>
      <c r="M12" s="207" t="s">
        <v>672</v>
      </c>
      <c r="N12" s="484"/>
      <c r="O12" s="422">
        <v>0</v>
      </c>
      <c r="P12" s="422">
        <v>0</v>
      </c>
      <c r="Q12" s="539" t="str">
        <f>Juridique_Eau!C12</f>
        <v>Régie</v>
      </c>
      <c r="R12" s="539">
        <f>Eau_technique!V13</f>
        <v>329</v>
      </c>
      <c r="S12" s="539" t="str">
        <f>Juridique_Ass!C12</f>
        <v>Régie</v>
      </c>
      <c r="T12" s="539">
        <f>'Assainissement_technique '!F12</f>
        <v>287</v>
      </c>
    </row>
    <row r="13" spans="1:20" ht="114.75">
      <c r="A13" s="203" t="str">
        <f>+Liste_services!A3</f>
        <v>Roquebrune</v>
      </c>
      <c r="B13" s="204">
        <v>0</v>
      </c>
      <c r="C13" s="204">
        <v>0</v>
      </c>
      <c r="D13" s="205">
        <f t="shared" si="0"/>
        <v>0</v>
      </c>
      <c r="E13" s="205"/>
      <c r="F13" s="205" t="s">
        <v>702</v>
      </c>
      <c r="G13" s="205" t="s">
        <v>654</v>
      </c>
      <c r="H13" s="206">
        <v>3.4</v>
      </c>
      <c r="I13" s="206">
        <v>0.4</v>
      </c>
      <c r="J13" s="207">
        <f t="shared" si="1"/>
        <v>3.8</v>
      </c>
      <c r="K13" s="207"/>
      <c r="L13" s="207" t="s">
        <v>756</v>
      </c>
      <c r="M13" s="207" t="s">
        <v>673</v>
      </c>
      <c r="N13" s="484"/>
      <c r="O13" s="422">
        <v>3</v>
      </c>
      <c r="P13" s="422"/>
      <c r="Q13" s="539">
        <f>Juridique_Eau!C13</f>
        <v>0</v>
      </c>
      <c r="R13" s="539">
        <f>Eau_technique!V14</f>
        <v>0</v>
      </c>
      <c r="S13" s="539" t="str">
        <f>Juridique_Ass!C13</f>
        <v>Réseau en régie
STEP en délégation (concession)</v>
      </c>
      <c r="T13" s="539">
        <f>'Assainissement_technique '!F13</f>
        <v>3630</v>
      </c>
    </row>
    <row r="14" spans="1:20" ht="51">
      <c r="A14" s="203" t="str">
        <f>+Liste_services!A7</f>
        <v>Sainte Agnes</v>
      </c>
      <c r="B14" s="204">
        <v>0</v>
      </c>
      <c r="C14" s="204">
        <v>0</v>
      </c>
      <c r="D14" s="205">
        <f t="shared" si="0"/>
        <v>0</v>
      </c>
      <c r="E14" s="205"/>
      <c r="F14" s="205" t="s">
        <v>702</v>
      </c>
      <c r="G14" s="205" t="s">
        <v>470</v>
      </c>
      <c r="H14" s="206">
        <v>0</v>
      </c>
      <c r="I14" s="206">
        <v>0</v>
      </c>
      <c r="J14" s="207">
        <f t="shared" si="1"/>
        <v>0</v>
      </c>
      <c r="K14" s="207"/>
      <c r="L14" s="207" t="s">
        <v>397</v>
      </c>
      <c r="M14" s="207" t="s">
        <v>635</v>
      </c>
      <c r="N14" s="484"/>
      <c r="O14" s="422">
        <v>0</v>
      </c>
      <c r="P14" s="422">
        <v>0</v>
      </c>
      <c r="Q14" s="539">
        <f>Juridique_Eau!C14</f>
        <v>0</v>
      </c>
      <c r="R14" s="539">
        <f>Eau_technique!V15</f>
        <v>0</v>
      </c>
      <c r="S14" s="539" t="str">
        <f>Juridique_Ass!C14</f>
        <v>DSP</v>
      </c>
      <c r="T14" s="539">
        <f>'Assainissement_technique '!F14</f>
        <v>442</v>
      </c>
    </row>
    <row r="15" spans="1:20" ht="102">
      <c r="A15" s="203" t="str">
        <f>+Liste_services!A13</f>
        <v>Saorge</v>
      </c>
      <c r="B15" s="204">
        <v>0.15</v>
      </c>
      <c r="C15" s="204">
        <v>0.05</v>
      </c>
      <c r="D15" s="205">
        <f t="shared" si="0"/>
        <v>0.2</v>
      </c>
      <c r="E15" s="205"/>
      <c r="F15" s="205" t="s">
        <v>706</v>
      </c>
      <c r="G15" s="205" t="s">
        <v>674</v>
      </c>
      <c r="H15" s="206">
        <v>0.15</v>
      </c>
      <c r="I15" s="206">
        <v>0.05</v>
      </c>
      <c r="J15" s="207">
        <f t="shared" si="1"/>
        <v>0.2</v>
      </c>
      <c r="K15" s="207"/>
      <c r="L15" s="207" t="s">
        <v>706</v>
      </c>
      <c r="M15" s="207" t="s">
        <v>674</v>
      </c>
      <c r="N15" s="484"/>
      <c r="O15" s="422">
        <v>0</v>
      </c>
      <c r="P15" s="422">
        <v>0</v>
      </c>
      <c r="Q15" s="539" t="str">
        <f>Juridique_Eau!C15</f>
        <v>régie</v>
      </c>
      <c r="R15" s="539">
        <f>Eau_technique!V16</f>
        <v>550</v>
      </c>
      <c r="S15" s="539" t="str">
        <f>Juridique_Ass!C15</f>
        <v>régie</v>
      </c>
      <c r="T15" s="539">
        <f>'Assainissement_technique '!F15</f>
        <v>465</v>
      </c>
    </row>
    <row r="16" spans="1:20" ht="165.75">
      <c r="A16" s="203" t="str">
        <f>+Liste_services!A10</f>
        <v>Sospel</v>
      </c>
      <c r="B16" s="204">
        <v>2.25</v>
      </c>
      <c r="C16" s="204">
        <v>0.75</v>
      </c>
      <c r="D16" s="205">
        <f t="shared" si="0"/>
        <v>3</v>
      </c>
      <c r="E16" s="205"/>
      <c r="F16" s="205" t="s">
        <v>707</v>
      </c>
      <c r="G16" s="205" t="s">
        <v>712</v>
      </c>
      <c r="H16" s="206">
        <v>2.25</v>
      </c>
      <c r="I16" s="206">
        <v>0.75</v>
      </c>
      <c r="J16" s="207">
        <f t="shared" si="1"/>
        <v>3</v>
      </c>
      <c r="K16" s="207"/>
      <c r="L16" s="207" t="s">
        <v>707</v>
      </c>
      <c r="M16" s="207" t="s">
        <v>712</v>
      </c>
      <c r="N16" s="484"/>
      <c r="O16" s="422">
        <v>5</v>
      </c>
      <c r="P16" s="422">
        <v>1</v>
      </c>
      <c r="Q16" s="539" t="str">
        <f>Juridique_Eau!C16</f>
        <v>DSP</v>
      </c>
      <c r="R16" s="539">
        <f>Eau_technique!V18</f>
        <v>2004</v>
      </c>
      <c r="S16" s="539" t="str">
        <f>Juridique_Ass!C16</f>
        <v>régie</v>
      </c>
      <c r="T16" s="539">
        <f>'Assainissement_technique '!F16</f>
        <v>1436</v>
      </c>
    </row>
    <row r="17" spans="1:20" ht="127.5">
      <c r="A17" s="203" t="str">
        <f>+Liste_services!A16</f>
        <v>Tende</v>
      </c>
      <c r="B17" s="301">
        <f>1.3</f>
        <v>1.3</v>
      </c>
      <c r="C17" s="301">
        <v>0.2</v>
      </c>
      <c r="D17" s="205">
        <f t="shared" si="0"/>
        <v>1.5</v>
      </c>
      <c r="E17" s="302"/>
      <c r="F17" s="302" t="s">
        <v>289</v>
      </c>
      <c r="G17" s="302" t="s">
        <v>675</v>
      </c>
      <c r="H17" s="303">
        <v>1.3</v>
      </c>
      <c r="I17" s="303">
        <v>0.2</v>
      </c>
      <c r="J17" s="207">
        <f t="shared" si="1"/>
        <v>1.5</v>
      </c>
      <c r="K17" s="304"/>
      <c r="L17" s="207" t="s">
        <v>289</v>
      </c>
      <c r="M17" s="207" t="s">
        <v>675</v>
      </c>
      <c r="N17" s="484"/>
      <c r="O17" s="422">
        <v>2</v>
      </c>
      <c r="P17" s="422">
        <v>0</v>
      </c>
      <c r="Q17" s="539" t="str">
        <f>Juridique_Eau!C17</f>
        <v>régie</v>
      </c>
      <c r="R17" s="539">
        <f>Eau_technique!V19</f>
        <v>1870</v>
      </c>
      <c r="S17" s="539" t="str">
        <f>Juridique_Ass!C17</f>
        <v>Régie</v>
      </c>
      <c r="T17" s="539">
        <f>'Assainissement_technique '!F17</f>
        <v>1724</v>
      </c>
    </row>
    <row r="18" spans="1:20" ht="76.5">
      <c r="A18" s="420" t="s">
        <v>256</v>
      </c>
      <c r="B18" s="301">
        <v>2</v>
      </c>
      <c r="C18" s="301">
        <v>2</v>
      </c>
      <c r="D18" s="205">
        <f t="shared" si="0"/>
        <v>4</v>
      </c>
      <c r="E18" s="302"/>
      <c r="F18" s="302" t="s">
        <v>397</v>
      </c>
      <c r="G18" s="302" t="s">
        <v>676</v>
      </c>
      <c r="H18" s="303"/>
      <c r="I18" s="303"/>
      <c r="J18" s="304"/>
      <c r="K18" s="304"/>
      <c r="L18" s="304"/>
      <c r="M18" s="304"/>
      <c r="N18" s="484"/>
      <c r="O18" s="422">
        <v>2</v>
      </c>
      <c r="P18" s="422">
        <v>2</v>
      </c>
      <c r="Q18" s="539" t="str">
        <f>Juridique_Eau!C18</f>
        <v>régie</v>
      </c>
      <c r="R18" s="539">
        <f>Eau_technique!V17</f>
        <v>11979</v>
      </c>
      <c r="S18" s="539">
        <f>Juridique_Ass!C18</f>
        <v>0</v>
      </c>
      <c r="T18" s="539">
        <f>'Assainissement_technique '!F18</f>
        <v>0</v>
      </c>
    </row>
    <row r="19" spans="1:20">
      <c r="A19" s="203" t="s">
        <v>169</v>
      </c>
      <c r="B19" s="197">
        <f>SUM(B3:B18)</f>
        <v>11.075000000000001</v>
      </c>
      <c r="C19" s="197">
        <f>SUM(C3:C18)</f>
        <v>4.25</v>
      </c>
      <c r="D19" s="197">
        <f>SUM(D3:D18)</f>
        <v>15.325000000000001</v>
      </c>
      <c r="E19" s="197"/>
      <c r="F19" s="197"/>
      <c r="G19" s="197"/>
      <c r="H19" s="208">
        <f>SUM(H3:H17)</f>
        <v>13.925000000000001</v>
      </c>
      <c r="I19" s="208">
        <f>SUM(I3:I17)</f>
        <v>3</v>
      </c>
      <c r="J19" s="196">
        <f>SUM(J3:J17)</f>
        <v>16.925000000000001</v>
      </c>
      <c r="K19" s="196"/>
      <c r="L19" s="196"/>
      <c r="M19" s="196"/>
      <c r="N19" s="485"/>
      <c r="O19" s="423">
        <f>SUM(O3:O18)</f>
        <v>19</v>
      </c>
      <c r="P19" s="423">
        <f>SUM(P3:P18)</f>
        <v>4</v>
      </c>
    </row>
    <row r="22" spans="1:20">
      <c r="E22" s="194"/>
      <c r="F22" s="194"/>
      <c r="G22" s="194"/>
      <c r="H22" s="160"/>
      <c r="I22" s="160"/>
      <c r="J22" s="179"/>
      <c r="L22" s="179"/>
      <c r="M22" s="179"/>
      <c r="N22" s="480"/>
    </row>
    <row r="23" spans="1:20">
      <c r="D23" s="160"/>
    </row>
    <row r="24" spans="1:20">
      <c r="D24" s="160"/>
    </row>
    <row r="25" spans="1:20">
      <c r="D25" s="160"/>
      <c r="E25" s="194"/>
      <c r="F25" s="194"/>
      <c r="G25" s="194"/>
      <c r="H25" s="160"/>
      <c r="I25" s="160"/>
      <c r="J25" s="160"/>
      <c r="L25" s="160"/>
      <c r="M25" s="160"/>
      <c r="N25" s="482"/>
    </row>
    <row r="26" spans="1:20">
      <c r="D26" s="160"/>
    </row>
    <row r="27" spans="1:20">
      <c r="D27" s="160"/>
    </row>
  </sheetData>
  <autoFilter ref="A2:M2">
    <sortState ref="A3:M18">
      <sortCondition ref="A2"/>
    </sortState>
  </autoFilter>
  <sortState ref="A3:M16">
    <sortCondition ref="A3"/>
  </sortState>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94B8EA"/>
  </sheetPr>
  <dimension ref="A1:BO47"/>
  <sheetViews>
    <sheetView zoomScale="85" zoomScaleNormal="85" workbookViewId="0">
      <pane xSplit="1" ySplit="2" topLeftCell="B3" activePane="bottomRight" state="frozen"/>
      <selection pane="topRight" activeCell="B1" sqref="B1"/>
      <selection pane="bottomLeft" activeCell="A3" sqref="A3"/>
      <selection pane="bottomRight" activeCell="E3" sqref="E3"/>
    </sheetView>
  </sheetViews>
  <sheetFormatPr baseColWidth="10" defaultRowHeight="12.75"/>
  <cols>
    <col min="1" max="1" width="25" style="134" bestFit="1" customWidth="1"/>
    <col min="2" max="3" width="8" style="82" bestFit="1" customWidth="1"/>
    <col min="4" max="4" width="8.140625" style="82" customWidth="1"/>
    <col min="5" max="6" width="8" style="82" bestFit="1" customWidth="1"/>
    <col min="7" max="7" width="11.85546875" style="82" customWidth="1"/>
    <col min="8" max="9" width="8" bestFit="1" customWidth="1"/>
    <col min="10" max="10" width="8.140625" customWidth="1"/>
    <col min="11" max="12" width="8" bestFit="1" customWidth="1"/>
    <col min="13" max="13" width="11.85546875" customWidth="1"/>
    <col min="14" max="14" width="5" bestFit="1" customWidth="1"/>
    <col min="15" max="17" width="7.140625" bestFit="1" customWidth="1"/>
    <col min="18" max="18" width="6" bestFit="1" customWidth="1"/>
    <col min="20" max="21" width="6.140625" bestFit="1" customWidth="1"/>
    <col min="22" max="22" width="7.140625" customWidth="1"/>
    <col min="23" max="24" width="6.140625" bestFit="1" customWidth="1"/>
    <col min="26" max="26" width="6" bestFit="1" customWidth="1"/>
    <col min="27" max="29" width="8.140625" bestFit="1" customWidth="1"/>
    <col min="30" max="30" width="7" bestFit="1" customWidth="1"/>
    <col min="32" max="32" width="5" bestFit="1" customWidth="1"/>
    <col min="33" max="36" width="6" bestFit="1" customWidth="1"/>
    <col min="38" max="38" width="5" bestFit="1" customWidth="1"/>
    <col min="39" max="40" width="5.85546875" bestFit="1" customWidth="1"/>
    <col min="41" max="41" width="7.42578125" bestFit="1" customWidth="1"/>
    <col min="42" max="42" width="5" bestFit="1" customWidth="1"/>
    <col min="44" max="44" width="5" bestFit="1" customWidth="1"/>
    <col min="45" max="47" width="5.85546875" bestFit="1" customWidth="1"/>
    <col min="48" max="48" width="5" bestFit="1" customWidth="1"/>
    <col min="50" max="54" width="5" bestFit="1" customWidth="1"/>
    <col min="56" max="60" width="5" bestFit="1" customWidth="1"/>
    <col min="61" max="61" width="8.5703125" bestFit="1" customWidth="1"/>
    <col min="62" max="66" width="5" bestFit="1" customWidth="1"/>
  </cols>
  <sheetData>
    <row r="1" spans="1:67" s="82" customFormat="1">
      <c r="A1" s="134"/>
      <c r="B1" s="616" t="s">
        <v>6</v>
      </c>
      <c r="C1" s="617"/>
      <c r="D1" s="617"/>
      <c r="E1" s="617"/>
      <c r="F1" s="617"/>
      <c r="G1" s="618"/>
      <c r="H1" s="619" t="s">
        <v>145</v>
      </c>
      <c r="I1" s="620"/>
      <c r="J1" s="620"/>
      <c r="K1" s="620"/>
      <c r="L1" s="620"/>
      <c r="M1" s="621"/>
      <c r="N1" s="622" t="s">
        <v>146</v>
      </c>
      <c r="O1" s="623"/>
      <c r="P1" s="623"/>
      <c r="Q1" s="623"/>
      <c r="R1" s="623"/>
      <c r="S1" s="624"/>
      <c r="T1" s="619" t="s">
        <v>88</v>
      </c>
      <c r="U1" s="620"/>
      <c r="V1" s="620"/>
      <c r="W1" s="620"/>
      <c r="X1" s="620"/>
      <c r="Y1" s="621"/>
      <c r="Z1" s="622" t="s">
        <v>10</v>
      </c>
      <c r="AA1" s="623"/>
      <c r="AB1" s="623"/>
      <c r="AC1" s="623"/>
      <c r="AD1" s="623"/>
      <c r="AE1" s="624"/>
      <c r="AF1" s="619" t="s">
        <v>147</v>
      </c>
      <c r="AG1" s="620"/>
      <c r="AH1" s="620"/>
      <c r="AI1" s="620"/>
      <c r="AJ1" s="620"/>
      <c r="AK1" s="621"/>
      <c r="AL1" s="622" t="s">
        <v>148</v>
      </c>
      <c r="AM1" s="623"/>
      <c r="AN1" s="623"/>
      <c r="AO1" s="623"/>
      <c r="AP1" s="623"/>
      <c r="AQ1" s="624"/>
      <c r="AR1" s="619" t="s">
        <v>149</v>
      </c>
      <c r="AS1" s="620"/>
      <c r="AT1" s="620"/>
      <c r="AU1" s="620"/>
      <c r="AV1" s="620"/>
      <c r="AW1" s="621"/>
      <c r="AX1" s="622" t="s">
        <v>150</v>
      </c>
      <c r="AY1" s="623"/>
      <c r="AZ1" s="623"/>
      <c r="BA1" s="623"/>
      <c r="BB1" s="623"/>
      <c r="BC1" s="624"/>
      <c r="BD1" s="619" t="s">
        <v>154</v>
      </c>
      <c r="BE1" s="620"/>
      <c r="BF1" s="620"/>
      <c r="BG1" s="620"/>
      <c r="BH1" s="620"/>
      <c r="BI1" s="621"/>
      <c r="BJ1" s="622" t="s">
        <v>155</v>
      </c>
      <c r="BK1" s="623"/>
      <c r="BL1" s="623"/>
      <c r="BM1" s="623"/>
      <c r="BN1" s="623"/>
      <c r="BO1" s="624"/>
    </row>
    <row r="2" spans="1:67">
      <c r="B2" s="271">
        <v>2012</v>
      </c>
      <c r="C2" s="272">
        <f>B2+1</f>
        <v>2013</v>
      </c>
      <c r="D2" s="272">
        <f t="shared" ref="D2:F2" si="0">C2+1</f>
        <v>2014</v>
      </c>
      <c r="E2" s="272">
        <f t="shared" si="0"/>
        <v>2015</v>
      </c>
      <c r="F2" s="272">
        <f t="shared" si="0"/>
        <v>2016</v>
      </c>
      <c r="G2" s="273" t="s">
        <v>144</v>
      </c>
      <c r="H2" s="135">
        <v>2012</v>
      </c>
      <c r="I2" s="136">
        <f>H2+1</f>
        <v>2013</v>
      </c>
      <c r="J2" s="136">
        <f t="shared" ref="J2:L2" si="1">I2+1</f>
        <v>2014</v>
      </c>
      <c r="K2" s="136">
        <f t="shared" si="1"/>
        <v>2015</v>
      </c>
      <c r="L2" s="136">
        <f t="shared" si="1"/>
        <v>2016</v>
      </c>
      <c r="M2" s="137" t="s">
        <v>144</v>
      </c>
      <c r="N2" s="144">
        <f>H2</f>
        <v>2012</v>
      </c>
      <c r="O2" s="145">
        <f t="shared" ref="O2:R2" si="2">I2</f>
        <v>2013</v>
      </c>
      <c r="P2" s="145">
        <f t="shared" si="2"/>
        <v>2014</v>
      </c>
      <c r="Q2" s="145">
        <f t="shared" si="2"/>
        <v>2015</v>
      </c>
      <c r="R2" s="145">
        <f t="shared" si="2"/>
        <v>2016</v>
      </c>
      <c r="S2" s="146" t="s">
        <v>144</v>
      </c>
      <c r="T2" s="149">
        <f>N2</f>
        <v>2012</v>
      </c>
      <c r="U2" s="150">
        <f t="shared" ref="U2:X2" si="3">O2</f>
        <v>2013</v>
      </c>
      <c r="V2" s="150">
        <f t="shared" si="3"/>
        <v>2014</v>
      </c>
      <c r="W2" s="150">
        <f t="shared" si="3"/>
        <v>2015</v>
      </c>
      <c r="X2" s="150">
        <f t="shared" si="3"/>
        <v>2016</v>
      </c>
      <c r="Y2" s="137" t="s">
        <v>144</v>
      </c>
      <c r="Z2" s="144">
        <f>T2</f>
        <v>2012</v>
      </c>
      <c r="AA2" s="145">
        <f t="shared" ref="AA2:AD2" si="4">U2</f>
        <v>2013</v>
      </c>
      <c r="AB2" s="145">
        <f t="shared" si="4"/>
        <v>2014</v>
      </c>
      <c r="AC2" s="145">
        <f t="shared" si="4"/>
        <v>2015</v>
      </c>
      <c r="AD2" s="145">
        <f t="shared" si="4"/>
        <v>2016</v>
      </c>
      <c r="AE2" s="146" t="s">
        <v>144</v>
      </c>
      <c r="AF2" s="149">
        <f>Z2</f>
        <v>2012</v>
      </c>
      <c r="AG2" s="150">
        <f t="shared" ref="AG2:AJ2" si="5">AA2</f>
        <v>2013</v>
      </c>
      <c r="AH2" s="150">
        <f t="shared" si="5"/>
        <v>2014</v>
      </c>
      <c r="AI2" s="150">
        <f t="shared" si="5"/>
        <v>2015</v>
      </c>
      <c r="AJ2" s="150">
        <f t="shared" si="5"/>
        <v>2016</v>
      </c>
      <c r="AK2" s="137" t="s">
        <v>144</v>
      </c>
      <c r="AL2" s="144">
        <f>AF2</f>
        <v>2012</v>
      </c>
      <c r="AM2" s="145">
        <f t="shared" ref="AM2:AP2" si="6">AG2</f>
        <v>2013</v>
      </c>
      <c r="AN2" s="145">
        <f t="shared" si="6"/>
        <v>2014</v>
      </c>
      <c r="AO2" s="145">
        <f t="shared" si="6"/>
        <v>2015</v>
      </c>
      <c r="AP2" s="145">
        <f t="shared" si="6"/>
        <v>2016</v>
      </c>
      <c r="AQ2" s="146" t="s">
        <v>144</v>
      </c>
      <c r="AR2" s="149">
        <f>AL2</f>
        <v>2012</v>
      </c>
      <c r="AS2" s="150">
        <f t="shared" ref="AS2:AV2" si="7">AM2</f>
        <v>2013</v>
      </c>
      <c r="AT2" s="150">
        <f t="shared" si="7"/>
        <v>2014</v>
      </c>
      <c r="AU2" s="150">
        <f t="shared" si="7"/>
        <v>2015</v>
      </c>
      <c r="AV2" s="150">
        <f t="shared" si="7"/>
        <v>2016</v>
      </c>
      <c r="AW2" s="137" t="s">
        <v>144</v>
      </c>
      <c r="AX2" s="144">
        <f>AR2</f>
        <v>2012</v>
      </c>
      <c r="AY2" s="145">
        <f t="shared" ref="AY2:BB2" si="8">AS2</f>
        <v>2013</v>
      </c>
      <c r="AZ2" s="145">
        <f t="shared" si="8"/>
        <v>2014</v>
      </c>
      <c r="BA2" s="145">
        <f t="shared" si="8"/>
        <v>2015</v>
      </c>
      <c r="BB2" s="145">
        <f t="shared" si="8"/>
        <v>2016</v>
      </c>
      <c r="BC2" s="146" t="s">
        <v>144</v>
      </c>
      <c r="BD2" s="149">
        <f>AX2</f>
        <v>2012</v>
      </c>
      <c r="BE2" s="150">
        <f t="shared" ref="BE2:BH2" si="9">AY2</f>
        <v>2013</v>
      </c>
      <c r="BF2" s="150">
        <f t="shared" si="9"/>
        <v>2014</v>
      </c>
      <c r="BG2" s="150">
        <f t="shared" si="9"/>
        <v>2015</v>
      </c>
      <c r="BH2" s="150">
        <f t="shared" si="9"/>
        <v>2016</v>
      </c>
      <c r="BI2" s="137" t="s">
        <v>144</v>
      </c>
      <c r="BJ2" s="144">
        <f>BD2</f>
        <v>2012</v>
      </c>
      <c r="BK2" s="145">
        <f t="shared" ref="BK2:BN2" si="10">BE2</f>
        <v>2013</v>
      </c>
      <c r="BL2" s="145">
        <f t="shared" si="10"/>
        <v>2014</v>
      </c>
      <c r="BM2" s="145">
        <f t="shared" si="10"/>
        <v>2015</v>
      </c>
      <c r="BN2" s="145">
        <f t="shared" si="10"/>
        <v>2016</v>
      </c>
      <c r="BO2" s="146" t="s">
        <v>144</v>
      </c>
    </row>
    <row r="3" spans="1:67">
      <c r="A3" s="134" t="str">
        <f>+Liste_services!A2</f>
        <v>Menton</v>
      </c>
      <c r="B3" s="138"/>
      <c r="C3" s="139">
        <v>7547</v>
      </c>
      <c r="D3" s="139">
        <v>7558</v>
      </c>
      <c r="E3" s="139">
        <v>7695</v>
      </c>
      <c r="F3" s="139"/>
      <c r="G3" s="140">
        <f>IFERROR(ROUND(AVERAGE(B3:F3),2),"")</f>
        <v>7600</v>
      </c>
      <c r="H3" s="138"/>
      <c r="I3" s="139">
        <v>2697335</v>
      </c>
      <c r="J3" s="139">
        <f>1960560+613010</f>
        <v>2573570</v>
      </c>
      <c r="K3" s="139">
        <v>2496717</v>
      </c>
      <c r="L3" s="139"/>
      <c r="M3" s="140">
        <f>IFERROR(ROUND(AVERAGE(H3:L3),2),"")</f>
        <v>2589207.33</v>
      </c>
      <c r="N3" s="407"/>
      <c r="O3" s="407">
        <v>22508</v>
      </c>
      <c r="P3" s="407">
        <v>21824</v>
      </c>
      <c r="Q3" s="407">
        <v>22521</v>
      </c>
      <c r="R3" s="139"/>
      <c r="S3" s="147">
        <f>IFERROR(ROUND(AVERAGE(N3:R3),2),"")</f>
        <v>22284.33</v>
      </c>
      <c r="T3" s="138"/>
      <c r="U3" s="139"/>
      <c r="V3" s="139"/>
      <c r="W3" s="139"/>
      <c r="X3" s="139"/>
      <c r="Y3" s="140" t="str">
        <f>IFERROR(ROUND(AVERAGE(T3:X3),2),"")</f>
        <v/>
      </c>
      <c r="Z3" s="138"/>
      <c r="AA3" s="407">
        <v>2137469</v>
      </c>
      <c r="AB3" s="407">
        <v>2152258</v>
      </c>
      <c r="AC3" s="407">
        <v>2106108</v>
      </c>
      <c r="AD3" s="139"/>
      <c r="AE3" s="147">
        <f>IFERROR(ROUND(AVERAGE(Z3:AD3),2),"")</f>
        <v>2131945</v>
      </c>
      <c r="AF3" s="138"/>
      <c r="AG3" s="139"/>
      <c r="AH3" s="139"/>
      <c r="AI3" s="139"/>
      <c r="AJ3" s="139"/>
      <c r="AK3" s="140" t="str">
        <f>IFERROR(ROUND(AVERAGE(AF3:AJ3),2),"")</f>
        <v/>
      </c>
      <c r="AL3" s="138"/>
      <c r="AM3" s="408">
        <v>1</v>
      </c>
      <c r="AN3" s="408">
        <v>1</v>
      </c>
      <c r="AO3" s="408">
        <v>1</v>
      </c>
      <c r="AP3" s="139"/>
      <c r="AQ3" s="147">
        <f>IFERROR(ROUND(AVERAGE(AL3:AP3),2),"")</f>
        <v>1</v>
      </c>
      <c r="AR3" s="138"/>
      <c r="AS3" s="408">
        <v>1</v>
      </c>
      <c r="AT3" s="408">
        <v>1</v>
      </c>
      <c r="AU3" s="408">
        <v>1</v>
      </c>
      <c r="AV3" s="139"/>
      <c r="AW3" s="140">
        <f>IFERROR(ROUND(AVERAGE(AR3:AV3),2),"")</f>
        <v>1</v>
      </c>
      <c r="AX3" s="138"/>
      <c r="AY3" s="139">
        <v>1.86</v>
      </c>
      <c r="AZ3" s="139">
        <v>1.06</v>
      </c>
      <c r="BA3" s="139">
        <v>2.4700000000000002</v>
      </c>
      <c r="BB3" s="139"/>
      <c r="BC3" s="147">
        <f>IFERROR(ROUND(AVERAGE(AX3:BB3),2),"")</f>
        <v>1.8</v>
      </c>
      <c r="BD3" s="138">
        <v>23</v>
      </c>
      <c r="BE3" s="139">
        <v>14</v>
      </c>
      <c r="BF3" s="139">
        <v>8</v>
      </c>
      <c r="BG3" s="139">
        <v>19</v>
      </c>
      <c r="BH3" s="139"/>
      <c r="BI3" s="140">
        <f>IFERROR(ROUND(AVERAGE(BD3:BH3),2),"")</f>
        <v>16</v>
      </c>
      <c r="BJ3" s="138">
        <v>54</v>
      </c>
      <c r="BK3" s="139">
        <v>33</v>
      </c>
      <c r="BL3" s="139">
        <v>24</v>
      </c>
      <c r="BM3" s="139">
        <v>37</v>
      </c>
      <c r="BN3" s="139"/>
      <c r="BO3" s="147">
        <f>IFERROR(ROUND(AVERAGE(BJ3:BN3),2),"")</f>
        <v>37</v>
      </c>
    </row>
    <row r="4" spans="1:67">
      <c r="A4" s="134" t="str">
        <f>+Liste_services!A3</f>
        <v>Roquebrune</v>
      </c>
      <c r="B4" s="138"/>
      <c r="C4" s="139"/>
      <c r="D4" s="139"/>
      <c r="E4" s="139"/>
      <c r="F4" s="139"/>
      <c r="G4" s="140" t="str">
        <f t="shared" ref="G4:G47" si="11">IFERROR(ROUND(AVERAGE(B4:F4),2),"")</f>
        <v/>
      </c>
      <c r="H4" s="138"/>
      <c r="I4" s="139"/>
      <c r="J4" s="139"/>
      <c r="K4" s="139"/>
      <c r="L4" s="139"/>
      <c r="M4" s="140" t="str">
        <f t="shared" ref="M4:M47" si="12">IFERROR(ROUND(AVERAGE(H4:L4),2),"")</f>
        <v/>
      </c>
      <c r="N4" s="138"/>
      <c r="O4" s="139"/>
      <c r="P4" s="139"/>
      <c r="Q4" s="151"/>
      <c r="R4" s="139"/>
      <c r="S4" s="147" t="str">
        <f t="shared" ref="S4:S47" si="13">IFERROR(ROUND(AVERAGE(N4:R4),2),"")</f>
        <v/>
      </c>
      <c r="T4" s="138"/>
      <c r="U4" s="139"/>
      <c r="V4" s="139"/>
      <c r="W4" s="139"/>
      <c r="X4" s="139"/>
      <c r="Y4" s="140" t="str">
        <f t="shared" ref="Y4:Y47" si="14">IFERROR(ROUND(AVERAGE(T4:X4),2),"")</f>
        <v/>
      </c>
      <c r="Z4" s="138"/>
      <c r="AA4" s="139"/>
      <c r="AB4" s="139"/>
      <c r="AC4" s="139"/>
      <c r="AD4" s="139"/>
      <c r="AE4" s="147" t="str">
        <f t="shared" ref="AE4:AE47" si="15">IFERROR(ROUND(AVERAGE(Z4:AD4),2),"")</f>
        <v/>
      </c>
      <c r="AF4" s="138"/>
      <c r="AG4" s="139"/>
      <c r="AH4" s="139"/>
      <c r="AI4" s="139"/>
      <c r="AJ4" s="139"/>
      <c r="AK4" s="140" t="str">
        <f t="shared" ref="AK4:AK47" si="16">IFERROR(ROUND(AVERAGE(AF4:AJ4),2),"")</f>
        <v/>
      </c>
      <c r="AL4" s="138"/>
      <c r="AM4" s="139"/>
      <c r="AN4" s="139"/>
      <c r="AO4" s="139"/>
      <c r="AP4" s="139"/>
      <c r="AQ4" s="147" t="str">
        <f t="shared" ref="AQ4:AQ47" si="17">IFERROR(ROUND(AVERAGE(AL4:AP4),2),"")</f>
        <v/>
      </c>
      <c r="AR4" s="138"/>
      <c r="AS4" s="139"/>
      <c r="AT4" s="139"/>
      <c r="AU4" s="139"/>
      <c r="AV4" s="139"/>
      <c r="AW4" s="140" t="str">
        <f t="shared" ref="AW4:AW47" si="18">IFERROR(ROUND(AVERAGE(AR4:AV4),2),"")</f>
        <v/>
      </c>
      <c r="AX4" s="138"/>
      <c r="AY4" s="139"/>
      <c r="AZ4" s="139"/>
      <c r="BA4" s="139"/>
      <c r="BB4" s="139"/>
      <c r="BC4" s="147" t="str">
        <f t="shared" ref="BC4:BC47" si="19">IFERROR(ROUND(AVERAGE(AX4:BB4),2),"")</f>
        <v/>
      </c>
      <c r="BD4" s="138"/>
      <c r="BE4" s="139"/>
      <c r="BF4" s="139"/>
      <c r="BG4" s="139"/>
      <c r="BH4" s="139"/>
      <c r="BI4" s="140" t="str">
        <f t="shared" ref="BI4:BI47" si="20">IFERROR(ROUND(AVERAGE(BD4:BH4),2),"")</f>
        <v/>
      </c>
      <c r="BJ4" s="138"/>
      <c r="BK4" s="139"/>
      <c r="BL4" s="139"/>
      <c r="BM4" s="139"/>
      <c r="BN4" s="139"/>
      <c r="BO4" s="147" t="str">
        <f t="shared" ref="BO4:BO47" si="21">IFERROR(ROUND(AVERAGE(BJ4:BN4),2),"")</f>
        <v/>
      </c>
    </row>
    <row r="5" spans="1:67">
      <c r="A5" s="134" t="str">
        <f>+Liste_services!A4</f>
        <v>Beausoleil</v>
      </c>
      <c r="B5" s="152"/>
      <c r="C5" s="153"/>
      <c r="D5" s="153"/>
      <c r="E5" s="153"/>
      <c r="F5" s="153"/>
      <c r="G5" s="154" t="str">
        <f t="shared" si="11"/>
        <v/>
      </c>
      <c r="H5" s="152"/>
      <c r="I5" s="153"/>
      <c r="J5" s="153"/>
      <c r="K5" s="153"/>
      <c r="L5" s="153"/>
      <c r="M5" s="154" t="str">
        <f t="shared" si="12"/>
        <v/>
      </c>
      <c r="N5" s="152"/>
      <c r="O5" s="153"/>
      <c r="P5" s="153"/>
      <c r="Q5" s="153"/>
      <c r="R5" s="153"/>
      <c r="S5" s="154" t="str">
        <f t="shared" si="13"/>
        <v/>
      </c>
      <c r="T5" s="152"/>
      <c r="U5" s="153"/>
      <c r="V5" s="153"/>
      <c r="W5" s="153"/>
      <c r="X5" s="153"/>
      <c r="Y5" s="154" t="str">
        <f t="shared" si="14"/>
        <v/>
      </c>
      <c r="Z5" s="152"/>
      <c r="AA5" s="153"/>
      <c r="AB5" s="153"/>
      <c r="AC5" s="153"/>
      <c r="AD5" s="153"/>
      <c r="AE5" s="154" t="str">
        <f t="shared" si="15"/>
        <v/>
      </c>
      <c r="AF5" s="152"/>
      <c r="AG5" s="153"/>
      <c r="AH5" s="153"/>
      <c r="AI5" s="153"/>
      <c r="AJ5" s="153"/>
      <c r="AK5" s="154" t="str">
        <f t="shared" si="16"/>
        <v/>
      </c>
      <c r="AL5" s="152"/>
      <c r="AM5" s="153"/>
      <c r="AN5" s="153"/>
      <c r="AO5" s="153"/>
      <c r="AP5" s="153"/>
      <c r="AQ5" s="154" t="str">
        <f t="shared" si="17"/>
        <v/>
      </c>
      <c r="AR5" s="152"/>
      <c r="AS5" s="153"/>
      <c r="AT5" s="153"/>
      <c r="AU5" s="153"/>
      <c r="AV5" s="153"/>
      <c r="AW5" s="154" t="str">
        <f t="shared" si="18"/>
        <v/>
      </c>
      <c r="AX5" s="152"/>
      <c r="AY5" s="153"/>
      <c r="AZ5" s="153"/>
      <c r="BA5" s="153"/>
      <c r="BB5" s="153"/>
      <c r="BC5" s="154" t="str">
        <f t="shared" si="19"/>
        <v/>
      </c>
      <c r="BD5" s="152">
        <v>3</v>
      </c>
      <c r="BE5" s="153">
        <v>3</v>
      </c>
      <c r="BF5" s="153">
        <v>6</v>
      </c>
      <c r="BG5" s="153">
        <v>6</v>
      </c>
      <c r="BH5" s="153"/>
      <c r="BI5" s="154">
        <f t="shared" si="20"/>
        <v>4.5</v>
      </c>
      <c r="BJ5" s="152">
        <v>18</v>
      </c>
      <c r="BK5" s="153">
        <v>19</v>
      </c>
      <c r="BL5" s="153">
        <v>5</v>
      </c>
      <c r="BM5" s="153">
        <v>8</v>
      </c>
      <c r="BN5" s="153"/>
      <c r="BO5" s="154">
        <f t="shared" si="21"/>
        <v>12.5</v>
      </c>
    </row>
    <row r="6" spans="1:67">
      <c r="A6" s="134" t="str">
        <f>+Liste_services!A5</f>
        <v>Gorbio</v>
      </c>
      <c r="B6" s="138"/>
      <c r="C6" s="139"/>
      <c r="D6" s="139"/>
      <c r="E6" s="139"/>
      <c r="F6" s="139"/>
      <c r="G6" s="140" t="str">
        <f t="shared" si="11"/>
        <v/>
      </c>
      <c r="H6" s="138"/>
      <c r="I6" s="139"/>
      <c r="J6" s="139"/>
      <c r="K6" s="139"/>
      <c r="L6" s="139"/>
      <c r="M6" s="140" t="str">
        <f t="shared" si="12"/>
        <v/>
      </c>
      <c r="N6" s="138"/>
      <c r="O6" s="139"/>
      <c r="P6" s="139"/>
      <c r="Q6" s="139"/>
      <c r="R6" s="139"/>
      <c r="S6" s="147" t="str">
        <f t="shared" si="13"/>
        <v/>
      </c>
      <c r="T6" s="138"/>
      <c r="U6" s="139"/>
      <c r="V6" s="139"/>
      <c r="W6" s="139"/>
      <c r="X6" s="139"/>
      <c r="Y6" s="140" t="str">
        <f t="shared" si="14"/>
        <v/>
      </c>
      <c r="Z6" s="138"/>
      <c r="AA6" s="139"/>
      <c r="AB6" s="139"/>
      <c r="AC6" s="139"/>
      <c r="AD6" s="139"/>
      <c r="AE6" s="147" t="str">
        <f t="shared" si="15"/>
        <v/>
      </c>
      <c r="AF6" s="138"/>
      <c r="AG6" s="139"/>
      <c r="AH6" s="139"/>
      <c r="AI6" s="139"/>
      <c r="AJ6" s="139"/>
      <c r="AK6" s="140" t="str">
        <f t="shared" si="16"/>
        <v/>
      </c>
      <c r="AL6" s="138"/>
      <c r="AM6" s="139"/>
      <c r="AN6" s="139"/>
      <c r="AO6" s="139"/>
      <c r="AP6" s="139"/>
      <c r="AQ6" s="147" t="str">
        <f t="shared" si="17"/>
        <v/>
      </c>
      <c r="AR6" s="138"/>
      <c r="AS6" s="139"/>
      <c r="AT6" s="139"/>
      <c r="AU6" s="139"/>
      <c r="AV6" s="139"/>
      <c r="AW6" s="140" t="str">
        <f t="shared" si="18"/>
        <v/>
      </c>
      <c r="AX6" s="138"/>
      <c r="AY6" s="139"/>
      <c r="AZ6" s="139"/>
      <c r="BA6" s="139"/>
      <c r="BB6" s="151"/>
      <c r="BC6" s="147" t="str">
        <f t="shared" si="19"/>
        <v/>
      </c>
      <c r="BD6" s="138"/>
      <c r="BE6" s="139"/>
      <c r="BF6" s="139"/>
      <c r="BG6" s="139"/>
      <c r="BH6" s="139"/>
      <c r="BI6" s="140" t="str">
        <f t="shared" si="20"/>
        <v/>
      </c>
      <c r="BJ6" s="138"/>
      <c r="BK6" s="139"/>
      <c r="BL6" s="139"/>
      <c r="BM6" s="139"/>
      <c r="BN6" s="139"/>
      <c r="BO6" s="147" t="str">
        <f t="shared" si="21"/>
        <v/>
      </c>
    </row>
    <row r="7" spans="1:67">
      <c r="A7" s="134" t="str">
        <f>+Liste_services!A6</f>
        <v>Castellar</v>
      </c>
      <c r="B7" s="138"/>
      <c r="C7" s="139"/>
      <c r="D7" s="139">
        <v>300</v>
      </c>
      <c r="E7" s="139">
        <v>300</v>
      </c>
      <c r="F7" s="139">
        <v>300</v>
      </c>
      <c r="G7" s="140">
        <f t="shared" si="11"/>
        <v>300</v>
      </c>
      <c r="H7" s="138"/>
      <c r="I7" s="139"/>
      <c r="J7" s="139">
        <v>13424</v>
      </c>
      <c r="K7" s="139">
        <v>14898</v>
      </c>
      <c r="L7" s="139">
        <v>15724</v>
      </c>
      <c r="M7" s="140">
        <f t="shared" si="12"/>
        <v>14682</v>
      </c>
      <c r="N7" s="138"/>
      <c r="O7" s="139"/>
      <c r="P7" s="139"/>
      <c r="Q7" s="139"/>
      <c r="R7" s="139"/>
      <c r="S7" s="147" t="str">
        <f t="shared" si="13"/>
        <v/>
      </c>
      <c r="T7" s="138"/>
      <c r="U7" s="139"/>
      <c r="V7" s="139"/>
      <c r="W7" s="139"/>
      <c r="X7" s="139"/>
      <c r="Y7" s="140" t="str">
        <f t="shared" si="14"/>
        <v/>
      </c>
      <c r="Z7" s="138"/>
      <c r="AA7" s="139"/>
      <c r="AB7" s="139"/>
      <c r="AC7" s="139"/>
      <c r="AD7" s="139"/>
      <c r="AE7" s="147" t="str">
        <f t="shared" si="15"/>
        <v/>
      </c>
      <c r="AF7" s="138"/>
      <c r="AG7" s="139"/>
      <c r="AH7" s="139"/>
      <c r="AI7" s="139"/>
      <c r="AJ7" s="139"/>
      <c r="AK7" s="140" t="str">
        <f t="shared" si="16"/>
        <v/>
      </c>
      <c r="AL7" s="138"/>
      <c r="AM7" s="139"/>
      <c r="AN7" s="139"/>
      <c r="AO7" s="139"/>
      <c r="AP7" s="139"/>
      <c r="AQ7" s="147" t="str">
        <f t="shared" si="17"/>
        <v/>
      </c>
      <c r="AR7" s="138"/>
      <c r="AS7" s="139"/>
      <c r="AT7" s="139"/>
      <c r="AU7" s="139"/>
      <c r="AV7" s="139"/>
      <c r="AW7" s="140" t="str">
        <f t="shared" si="18"/>
        <v/>
      </c>
      <c r="AX7" s="138"/>
      <c r="AY7" s="139"/>
      <c r="AZ7" s="139"/>
      <c r="BA7" s="139"/>
      <c r="BB7" s="139"/>
      <c r="BC7" s="147" t="str">
        <f t="shared" si="19"/>
        <v/>
      </c>
      <c r="BD7" s="138"/>
      <c r="BE7" s="139"/>
      <c r="BF7" s="139"/>
      <c r="BG7" s="139"/>
      <c r="BH7" s="139"/>
      <c r="BI7" s="140" t="str">
        <f t="shared" si="20"/>
        <v/>
      </c>
      <c r="BJ7" s="138"/>
      <c r="BK7" s="139"/>
      <c r="BL7" s="139"/>
      <c r="BM7" s="139"/>
      <c r="BN7" s="139"/>
      <c r="BO7" s="147" t="str">
        <f t="shared" si="21"/>
        <v/>
      </c>
    </row>
    <row r="8" spans="1:67">
      <c r="A8" s="134" t="str">
        <f>+Liste_services!A7</f>
        <v>Sainte Agnes</v>
      </c>
      <c r="B8" s="138"/>
      <c r="C8" s="139"/>
      <c r="D8" s="139"/>
      <c r="E8" s="139"/>
      <c r="F8" s="139"/>
      <c r="G8" s="140" t="str">
        <f t="shared" si="11"/>
        <v/>
      </c>
      <c r="H8" s="138"/>
      <c r="I8" s="139"/>
      <c r="J8" s="139"/>
      <c r="K8" s="139"/>
      <c r="L8" s="139"/>
      <c r="M8" s="140" t="str">
        <f t="shared" si="12"/>
        <v/>
      </c>
      <c r="N8" s="138"/>
      <c r="O8" s="139"/>
      <c r="P8" s="139"/>
      <c r="Q8" s="139"/>
      <c r="R8" s="139"/>
      <c r="S8" s="147" t="str">
        <f t="shared" si="13"/>
        <v/>
      </c>
      <c r="T8" s="138"/>
      <c r="U8" s="139"/>
      <c r="V8" s="139"/>
      <c r="W8" s="139"/>
      <c r="X8" s="139"/>
      <c r="Y8" s="140" t="str">
        <f t="shared" si="14"/>
        <v/>
      </c>
      <c r="Z8" s="138"/>
      <c r="AA8" s="139"/>
      <c r="AB8" s="139"/>
      <c r="AC8" s="139"/>
      <c r="AD8" s="139"/>
      <c r="AE8" s="147" t="str">
        <f t="shared" si="15"/>
        <v/>
      </c>
      <c r="AF8" s="138"/>
      <c r="AG8" s="139"/>
      <c r="AH8" s="139"/>
      <c r="AI8" s="139"/>
      <c r="AJ8" s="139"/>
      <c r="AK8" s="140" t="str">
        <f t="shared" si="16"/>
        <v/>
      </c>
      <c r="AL8" s="138"/>
      <c r="AM8" s="139"/>
      <c r="AN8" s="139"/>
      <c r="AO8" s="139"/>
      <c r="AP8" s="139"/>
      <c r="AQ8" s="147" t="str">
        <f t="shared" si="17"/>
        <v/>
      </c>
      <c r="AR8" s="138"/>
      <c r="AS8" s="139"/>
      <c r="AT8" s="139"/>
      <c r="AU8" s="139"/>
      <c r="AV8" s="139"/>
      <c r="AW8" s="140" t="str">
        <f t="shared" si="18"/>
        <v/>
      </c>
      <c r="AX8" s="138"/>
      <c r="AY8" s="139"/>
      <c r="AZ8" s="139"/>
      <c r="BA8" s="139"/>
      <c r="BB8" s="139"/>
      <c r="BC8" s="147" t="str">
        <f t="shared" si="19"/>
        <v/>
      </c>
      <c r="BD8" s="138"/>
      <c r="BE8" s="139"/>
      <c r="BF8" s="139"/>
      <c r="BG8" s="139"/>
      <c r="BH8" s="139"/>
      <c r="BI8" s="140" t="str">
        <f t="shared" si="20"/>
        <v/>
      </c>
      <c r="BJ8" s="138"/>
      <c r="BK8" s="139"/>
      <c r="BL8" s="139"/>
      <c r="BM8" s="139"/>
      <c r="BN8" s="139"/>
      <c r="BO8" s="147" t="str">
        <f t="shared" si="21"/>
        <v/>
      </c>
    </row>
    <row r="9" spans="1:67">
      <c r="A9" s="134" t="str">
        <f>+Liste_services!A8</f>
        <v xml:space="preserve">La Turbie </v>
      </c>
      <c r="B9" s="138"/>
      <c r="C9" s="139"/>
      <c r="D9" s="139"/>
      <c r="E9" s="139"/>
      <c r="F9" s="139"/>
      <c r="G9" s="140" t="str">
        <f t="shared" si="11"/>
        <v/>
      </c>
      <c r="H9" s="138"/>
      <c r="I9" s="139"/>
      <c r="J9" s="139"/>
      <c r="K9" s="139"/>
      <c r="L9" s="139"/>
      <c r="M9" s="140" t="str">
        <f t="shared" si="12"/>
        <v/>
      </c>
      <c r="N9" s="138"/>
      <c r="O9" s="139"/>
      <c r="P9" s="139"/>
      <c r="Q9" s="139"/>
      <c r="R9" s="139"/>
      <c r="S9" s="147" t="str">
        <f t="shared" si="13"/>
        <v/>
      </c>
      <c r="T9" s="138"/>
      <c r="U9" s="139"/>
      <c r="V9" s="139"/>
      <c r="W9" s="139"/>
      <c r="X9" s="139"/>
      <c r="Y9" s="140" t="str">
        <f t="shared" si="14"/>
        <v/>
      </c>
      <c r="Z9" s="138"/>
      <c r="AA9" s="139"/>
      <c r="AB9" s="151"/>
      <c r="AC9" s="139"/>
      <c r="AD9" s="139"/>
      <c r="AE9" s="147" t="str">
        <f t="shared" si="15"/>
        <v/>
      </c>
      <c r="AF9" s="138"/>
      <c r="AG9" s="139"/>
      <c r="AH9" s="139"/>
      <c r="AI9" s="139"/>
      <c r="AJ9" s="139"/>
      <c r="AK9" s="140" t="str">
        <f t="shared" si="16"/>
        <v/>
      </c>
      <c r="AL9" s="138"/>
      <c r="AM9" s="139"/>
      <c r="AN9" s="139"/>
      <c r="AO9" s="139"/>
      <c r="AP9" s="139"/>
      <c r="AQ9" s="147" t="str">
        <f t="shared" si="17"/>
        <v/>
      </c>
      <c r="AR9" s="138"/>
      <c r="AS9" s="139"/>
      <c r="AT9" s="139"/>
      <c r="AU9" s="139"/>
      <c r="AV9" s="139"/>
      <c r="AW9" s="140" t="str">
        <f t="shared" si="18"/>
        <v/>
      </c>
      <c r="AX9" s="138"/>
      <c r="AY9" s="139"/>
      <c r="AZ9" s="139"/>
      <c r="BA9" s="139"/>
      <c r="BB9" s="139"/>
      <c r="BC9" s="147" t="str">
        <f t="shared" si="19"/>
        <v/>
      </c>
      <c r="BD9" s="138"/>
      <c r="BE9" s="139"/>
      <c r="BF9" s="139"/>
      <c r="BG9" s="139"/>
      <c r="BH9" s="139"/>
      <c r="BI9" s="140" t="str">
        <f t="shared" si="20"/>
        <v/>
      </c>
      <c r="BJ9" s="138"/>
      <c r="BK9" s="139"/>
      <c r="BL9" s="139"/>
      <c r="BM9" s="139"/>
      <c r="BN9" s="139"/>
      <c r="BO9" s="147" t="str">
        <f t="shared" si="21"/>
        <v/>
      </c>
    </row>
    <row r="10" spans="1:67">
      <c r="A10" s="134" t="str">
        <f>+Liste_services!A9</f>
        <v>Castillon</v>
      </c>
      <c r="B10" s="138"/>
      <c r="C10" s="139"/>
      <c r="D10" s="139"/>
      <c r="E10" s="139"/>
      <c r="F10" s="139"/>
      <c r="G10" s="140" t="str">
        <f t="shared" si="11"/>
        <v/>
      </c>
      <c r="H10" s="138"/>
      <c r="I10" s="139"/>
      <c r="J10" s="139"/>
      <c r="K10" s="139"/>
      <c r="L10" s="139"/>
      <c r="M10" s="140" t="str">
        <f t="shared" si="12"/>
        <v/>
      </c>
      <c r="N10" s="138"/>
      <c r="O10" s="139"/>
      <c r="P10" s="139"/>
      <c r="Q10" s="139"/>
      <c r="R10" s="139"/>
      <c r="S10" s="147" t="str">
        <f t="shared" si="13"/>
        <v/>
      </c>
      <c r="T10" s="138"/>
      <c r="U10" s="139"/>
      <c r="V10" s="139"/>
      <c r="W10" s="139"/>
      <c r="X10" s="139"/>
      <c r="Y10" s="140" t="str">
        <f t="shared" si="14"/>
        <v/>
      </c>
      <c r="Z10" s="138"/>
      <c r="AA10" s="139"/>
      <c r="AB10" s="139"/>
      <c r="AC10" s="139"/>
      <c r="AD10" s="139"/>
      <c r="AE10" s="147" t="str">
        <f t="shared" si="15"/>
        <v/>
      </c>
      <c r="AF10" s="138"/>
      <c r="AG10" s="139"/>
      <c r="AH10" s="139"/>
      <c r="AI10" s="139"/>
      <c r="AJ10" s="139"/>
      <c r="AK10" s="140" t="str">
        <f t="shared" si="16"/>
        <v/>
      </c>
      <c r="AL10" s="138"/>
      <c r="AM10" s="139"/>
      <c r="AN10" s="139"/>
      <c r="AO10" s="139"/>
      <c r="AP10" s="139"/>
      <c r="AQ10" s="147" t="str">
        <f t="shared" si="17"/>
        <v/>
      </c>
      <c r="AR10" s="138"/>
      <c r="AS10" s="139"/>
      <c r="AT10" s="139"/>
      <c r="AU10" s="139"/>
      <c r="AV10" s="139"/>
      <c r="AW10" s="140" t="str">
        <f t="shared" si="18"/>
        <v/>
      </c>
      <c r="AX10" s="138"/>
      <c r="AY10" s="139"/>
      <c r="AZ10" s="139"/>
      <c r="BA10" s="139"/>
      <c r="BB10" s="139"/>
      <c r="BC10" s="147" t="str">
        <f t="shared" si="19"/>
        <v/>
      </c>
      <c r="BD10" s="138"/>
      <c r="BE10" s="139"/>
      <c r="BF10" s="139"/>
      <c r="BG10" s="139"/>
      <c r="BH10" s="139"/>
      <c r="BI10" s="140" t="str">
        <f t="shared" si="20"/>
        <v/>
      </c>
      <c r="BJ10" s="138"/>
      <c r="BK10" s="139"/>
      <c r="BL10" s="139"/>
      <c r="BM10" s="139"/>
      <c r="BN10" s="139"/>
      <c r="BO10" s="147" t="str">
        <f t="shared" si="21"/>
        <v/>
      </c>
    </row>
    <row r="11" spans="1:67">
      <c r="A11" s="134" t="str">
        <f>+Liste_services!A10</f>
        <v>Sospel</v>
      </c>
      <c r="B11" s="138"/>
      <c r="C11" s="139">
        <v>1950</v>
      </c>
      <c r="D11" s="139">
        <v>1980</v>
      </c>
      <c r="E11" s="139">
        <v>2004</v>
      </c>
      <c r="F11" s="139"/>
      <c r="G11" s="140">
        <f t="shared" si="11"/>
        <v>1978</v>
      </c>
      <c r="H11" s="138"/>
      <c r="I11" s="139">
        <v>499930</v>
      </c>
      <c r="J11" s="139">
        <v>549708</v>
      </c>
      <c r="K11" s="139">
        <v>547976</v>
      </c>
      <c r="L11" s="139"/>
      <c r="M11" s="140">
        <f t="shared" si="12"/>
        <v>532538</v>
      </c>
      <c r="N11" s="138"/>
      <c r="O11" s="139">
        <v>115000</v>
      </c>
      <c r="P11" s="139">
        <v>153000</v>
      </c>
      <c r="Q11" s="139">
        <v>135000</v>
      </c>
      <c r="R11" s="139"/>
      <c r="S11" s="147">
        <f t="shared" si="13"/>
        <v>134333.32999999999</v>
      </c>
      <c r="T11" s="138"/>
      <c r="U11" s="139"/>
      <c r="V11" s="139"/>
      <c r="W11" s="139"/>
      <c r="X11" s="139"/>
      <c r="Y11" s="140" t="str">
        <f t="shared" si="14"/>
        <v/>
      </c>
      <c r="Z11" s="138"/>
      <c r="AA11" s="139">
        <v>187772</v>
      </c>
      <c r="AB11" s="139">
        <v>186080</v>
      </c>
      <c r="AC11" s="139">
        <v>204538</v>
      </c>
      <c r="AD11" s="139"/>
      <c r="AE11" s="147">
        <f t="shared" si="15"/>
        <v>192796.67</v>
      </c>
      <c r="AF11" s="138"/>
      <c r="AG11" s="139"/>
      <c r="AH11" s="139"/>
      <c r="AI11" s="139"/>
      <c r="AJ11" s="139"/>
      <c r="AK11" s="140" t="str">
        <f t="shared" si="16"/>
        <v/>
      </c>
      <c r="AL11" s="138"/>
      <c r="AM11" s="408">
        <v>0.84</v>
      </c>
      <c r="AN11" s="408">
        <v>0.92</v>
      </c>
      <c r="AO11" s="431">
        <v>0.92300000000000004</v>
      </c>
      <c r="AP11" s="139"/>
      <c r="AQ11" s="147">
        <f t="shared" si="17"/>
        <v>0.89</v>
      </c>
      <c r="AR11" s="138"/>
      <c r="AS11" s="408">
        <v>1</v>
      </c>
      <c r="AT11" s="408">
        <v>1</v>
      </c>
      <c r="AU11" s="408">
        <v>1</v>
      </c>
      <c r="AV11" s="139"/>
      <c r="AW11" s="140">
        <f t="shared" si="18"/>
        <v>1</v>
      </c>
      <c r="AX11" s="138"/>
      <c r="AY11" s="139"/>
      <c r="AZ11" s="139"/>
      <c r="BA11" s="139"/>
      <c r="BB11" s="139"/>
      <c r="BC11" s="147" t="str">
        <f t="shared" si="19"/>
        <v/>
      </c>
      <c r="BD11" s="138"/>
      <c r="BE11" s="139"/>
      <c r="BF11" s="139"/>
      <c r="BG11" s="139"/>
      <c r="BH11" s="139"/>
      <c r="BI11" s="140" t="str">
        <f t="shared" si="20"/>
        <v/>
      </c>
      <c r="BJ11" s="138"/>
      <c r="BK11" s="139"/>
      <c r="BL11" s="139"/>
      <c r="BM11" s="139"/>
      <c r="BN11" s="139"/>
      <c r="BO11" s="147" t="str">
        <f t="shared" si="21"/>
        <v/>
      </c>
    </row>
    <row r="12" spans="1:67">
      <c r="A12" s="134" t="str">
        <f>+Liste_services!A11</f>
        <v>Moulinet</v>
      </c>
      <c r="B12" s="138"/>
      <c r="C12" s="139"/>
      <c r="D12" s="139"/>
      <c r="E12" s="139"/>
      <c r="F12" s="139"/>
      <c r="G12" s="140" t="str">
        <f t="shared" si="11"/>
        <v/>
      </c>
      <c r="H12" s="138"/>
      <c r="I12" s="139"/>
      <c r="J12" s="139"/>
      <c r="K12" s="139"/>
      <c r="L12" s="139"/>
      <c r="M12" s="140" t="str">
        <f t="shared" si="12"/>
        <v/>
      </c>
      <c r="N12" s="138"/>
      <c r="O12" s="139"/>
      <c r="P12" s="139"/>
      <c r="Q12" s="139"/>
      <c r="R12" s="139"/>
      <c r="S12" s="147" t="str">
        <f t="shared" si="13"/>
        <v/>
      </c>
      <c r="T12" s="138"/>
      <c r="U12" s="139"/>
      <c r="V12" s="139"/>
      <c r="W12" s="139"/>
      <c r="X12" s="139"/>
      <c r="Y12" s="140" t="str">
        <f t="shared" si="14"/>
        <v/>
      </c>
      <c r="Z12" s="138"/>
      <c r="AA12" s="139"/>
      <c r="AB12" s="139"/>
      <c r="AC12" s="139"/>
      <c r="AD12" s="151"/>
      <c r="AE12" s="147" t="str">
        <f t="shared" si="15"/>
        <v/>
      </c>
      <c r="AF12" s="138"/>
      <c r="AG12" s="139"/>
      <c r="AH12" s="139"/>
      <c r="AI12" s="139"/>
      <c r="AJ12" s="139"/>
      <c r="AK12" s="140" t="str">
        <f t="shared" si="16"/>
        <v/>
      </c>
      <c r="AL12" s="138"/>
      <c r="AM12" s="139"/>
      <c r="AN12" s="139"/>
      <c r="AO12" s="139"/>
      <c r="AP12" s="139"/>
      <c r="AQ12" s="147" t="str">
        <f t="shared" si="17"/>
        <v/>
      </c>
      <c r="AR12" s="138"/>
      <c r="AS12" s="139"/>
      <c r="AT12" s="139"/>
      <c r="AU12" s="139"/>
      <c r="AV12" s="139"/>
      <c r="AW12" s="140" t="str">
        <f t="shared" si="18"/>
        <v/>
      </c>
      <c r="AX12" s="138"/>
      <c r="AY12" s="139"/>
      <c r="AZ12" s="139"/>
      <c r="BA12" s="139"/>
      <c r="BB12" s="139"/>
      <c r="BC12" s="147" t="str">
        <f t="shared" si="19"/>
        <v/>
      </c>
      <c r="BD12" s="138"/>
      <c r="BE12" s="139"/>
      <c r="BF12" s="139"/>
      <c r="BG12" s="139"/>
      <c r="BH12" s="139"/>
      <c r="BI12" s="140" t="str">
        <f t="shared" si="20"/>
        <v/>
      </c>
      <c r="BJ12" s="138"/>
      <c r="BK12" s="139"/>
      <c r="BL12" s="139"/>
      <c r="BM12" s="139"/>
      <c r="BN12" s="139"/>
      <c r="BO12" s="147" t="str">
        <f t="shared" si="21"/>
        <v/>
      </c>
    </row>
    <row r="13" spans="1:67">
      <c r="A13" s="134" t="str">
        <f>+Liste_services!A12</f>
        <v>Breil</v>
      </c>
      <c r="B13" s="138"/>
      <c r="C13" s="139"/>
      <c r="D13" s="139"/>
      <c r="E13" s="139"/>
      <c r="F13" s="139"/>
      <c r="G13" s="140" t="str">
        <f t="shared" si="11"/>
        <v/>
      </c>
      <c r="H13" s="138"/>
      <c r="I13" s="139"/>
      <c r="J13" s="139"/>
      <c r="K13" s="139"/>
      <c r="L13" s="139"/>
      <c r="M13" s="140" t="str">
        <f t="shared" si="12"/>
        <v/>
      </c>
      <c r="N13" s="138"/>
      <c r="O13" s="139"/>
      <c r="P13" s="139"/>
      <c r="Q13" s="139"/>
      <c r="R13" s="139"/>
      <c r="S13" s="147" t="str">
        <f t="shared" si="13"/>
        <v/>
      </c>
      <c r="T13" s="138"/>
      <c r="U13" s="139"/>
      <c r="V13" s="139"/>
      <c r="W13" s="139"/>
      <c r="X13" s="139"/>
      <c r="Y13" s="140" t="str">
        <f t="shared" si="14"/>
        <v/>
      </c>
      <c r="Z13" s="138"/>
      <c r="AA13" s="139"/>
      <c r="AB13" s="139"/>
      <c r="AC13" s="139"/>
      <c r="AD13" s="139"/>
      <c r="AE13" s="147" t="str">
        <f t="shared" si="15"/>
        <v/>
      </c>
      <c r="AF13" s="138"/>
      <c r="AG13" s="139"/>
      <c r="AH13" s="139"/>
      <c r="AI13" s="139"/>
      <c r="AJ13" s="139"/>
      <c r="AK13" s="140" t="str">
        <f t="shared" si="16"/>
        <v/>
      </c>
      <c r="AL13" s="138"/>
      <c r="AM13" s="139"/>
      <c r="AN13" s="139"/>
      <c r="AO13" s="139"/>
      <c r="AP13" s="139"/>
      <c r="AQ13" s="147" t="str">
        <f t="shared" si="17"/>
        <v/>
      </c>
      <c r="AR13" s="138"/>
      <c r="AS13" s="139"/>
      <c r="AT13" s="139"/>
      <c r="AU13" s="139"/>
      <c r="AV13" s="139"/>
      <c r="AW13" s="140" t="str">
        <f t="shared" si="18"/>
        <v/>
      </c>
      <c r="AX13" s="138"/>
      <c r="AY13" s="139"/>
      <c r="AZ13" s="139"/>
      <c r="BA13" s="139"/>
      <c r="BB13" s="139"/>
      <c r="BC13" s="147" t="str">
        <f t="shared" si="19"/>
        <v/>
      </c>
      <c r="BD13" s="138"/>
      <c r="BE13" s="139"/>
      <c r="BF13" s="139"/>
      <c r="BG13" s="139"/>
      <c r="BH13" s="139"/>
      <c r="BI13" s="140" t="str">
        <f t="shared" si="20"/>
        <v/>
      </c>
      <c r="BJ13" s="138"/>
      <c r="BK13" s="139"/>
      <c r="BL13" s="139"/>
      <c r="BM13" s="139"/>
      <c r="BN13" s="139"/>
      <c r="BO13" s="147" t="str">
        <f t="shared" si="21"/>
        <v/>
      </c>
    </row>
    <row r="14" spans="1:67">
      <c r="A14" s="134" t="str">
        <f>+Liste_services!A13</f>
        <v>Saorge</v>
      </c>
      <c r="B14" s="138"/>
      <c r="C14" s="139"/>
      <c r="D14" s="139"/>
      <c r="E14" s="139"/>
      <c r="F14" s="139"/>
      <c r="G14" s="140" t="str">
        <f t="shared" si="11"/>
        <v/>
      </c>
      <c r="H14" s="138"/>
      <c r="I14" s="139"/>
      <c r="J14" s="139"/>
      <c r="K14" s="139"/>
      <c r="L14" s="139"/>
      <c r="M14" s="140" t="str">
        <f t="shared" si="12"/>
        <v/>
      </c>
      <c r="N14" s="138"/>
      <c r="O14" s="139"/>
      <c r="P14" s="139"/>
      <c r="Q14" s="139"/>
      <c r="R14" s="139"/>
      <c r="S14" s="147" t="str">
        <f t="shared" si="13"/>
        <v/>
      </c>
      <c r="T14" s="138"/>
      <c r="U14" s="139"/>
      <c r="V14" s="139"/>
      <c r="W14" s="139"/>
      <c r="X14" s="139"/>
      <c r="Y14" s="140" t="str">
        <f t="shared" si="14"/>
        <v/>
      </c>
      <c r="Z14" s="138"/>
      <c r="AA14" s="139"/>
      <c r="AB14" s="139"/>
      <c r="AC14" s="139"/>
      <c r="AD14" s="139"/>
      <c r="AE14" s="147" t="str">
        <f t="shared" si="15"/>
        <v/>
      </c>
      <c r="AF14" s="138"/>
      <c r="AG14" s="139"/>
      <c r="AH14" s="139"/>
      <c r="AI14" s="139"/>
      <c r="AJ14" s="139"/>
      <c r="AK14" s="140" t="str">
        <f t="shared" si="16"/>
        <v/>
      </c>
      <c r="AL14" s="138"/>
      <c r="AM14" s="139"/>
      <c r="AN14" s="139"/>
      <c r="AO14" s="139"/>
      <c r="AP14" s="139"/>
      <c r="AQ14" s="147" t="str">
        <f t="shared" si="17"/>
        <v/>
      </c>
      <c r="AR14" s="138"/>
      <c r="AS14" s="139"/>
      <c r="AT14" s="139"/>
      <c r="AU14" s="139"/>
      <c r="AV14" s="139"/>
      <c r="AW14" s="140" t="str">
        <f t="shared" si="18"/>
        <v/>
      </c>
      <c r="AX14" s="138"/>
      <c r="AY14" s="139"/>
      <c r="AZ14" s="139"/>
      <c r="BA14" s="139"/>
      <c r="BB14" s="139"/>
      <c r="BC14" s="147" t="str">
        <f t="shared" si="19"/>
        <v/>
      </c>
      <c r="BD14" s="138"/>
      <c r="BE14" s="139"/>
      <c r="BF14" s="139"/>
      <c r="BG14" s="139"/>
      <c r="BH14" s="139"/>
      <c r="BI14" s="140" t="str">
        <f t="shared" si="20"/>
        <v/>
      </c>
      <c r="BJ14" s="138"/>
      <c r="BK14" s="139"/>
      <c r="BL14" s="139"/>
      <c r="BM14" s="139"/>
      <c r="BN14" s="139"/>
      <c r="BO14" s="147" t="str">
        <f t="shared" si="21"/>
        <v/>
      </c>
    </row>
    <row r="15" spans="1:67">
      <c r="A15" s="134" t="str">
        <f>+Liste_services!A14</f>
        <v>La Brigue</v>
      </c>
      <c r="B15" s="138"/>
      <c r="C15" s="139"/>
      <c r="D15" s="139"/>
      <c r="E15" s="139"/>
      <c r="F15" s="139"/>
      <c r="G15" s="140" t="str">
        <f t="shared" si="11"/>
        <v/>
      </c>
      <c r="H15" s="138"/>
      <c r="I15" s="139"/>
      <c r="J15" s="139"/>
      <c r="K15" s="139"/>
      <c r="L15" s="139"/>
      <c r="M15" s="140" t="str">
        <f t="shared" si="12"/>
        <v/>
      </c>
      <c r="N15" s="138"/>
      <c r="O15" s="139"/>
      <c r="P15" s="139"/>
      <c r="Q15" s="139"/>
      <c r="R15" s="139"/>
      <c r="S15" s="147" t="str">
        <f t="shared" si="13"/>
        <v/>
      </c>
      <c r="T15" s="138"/>
      <c r="U15" s="139"/>
      <c r="V15" s="139"/>
      <c r="W15" s="139"/>
      <c r="X15" s="139"/>
      <c r="Y15" s="140" t="str">
        <f t="shared" si="14"/>
        <v/>
      </c>
      <c r="Z15" s="138"/>
      <c r="AA15" s="139"/>
      <c r="AB15" s="139"/>
      <c r="AC15" s="139"/>
      <c r="AD15" s="139"/>
      <c r="AE15" s="147" t="str">
        <f t="shared" si="15"/>
        <v/>
      </c>
      <c r="AF15" s="138"/>
      <c r="AG15" s="139"/>
      <c r="AH15" s="139"/>
      <c r="AI15" s="139"/>
      <c r="AJ15" s="139"/>
      <c r="AK15" s="140" t="str">
        <f t="shared" si="16"/>
        <v/>
      </c>
      <c r="AL15" s="138"/>
      <c r="AM15" s="139"/>
      <c r="AN15" s="139"/>
      <c r="AO15" s="139"/>
      <c r="AP15" s="139"/>
      <c r="AQ15" s="147" t="str">
        <f t="shared" si="17"/>
        <v/>
      </c>
      <c r="AR15" s="138"/>
      <c r="AS15" s="139"/>
      <c r="AT15" s="139"/>
      <c r="AU15" s="139"/>
      <c r="AV15" s="139"/>
      <c r="AW15" s="140" t="str">
        <f t="shared" si="18"/>
        <v/>
      </c>
      <c r="AX15" s="138"/>
      <c r="AY15" s="139"/>
      <c r="AZ15" s="139"/>
      <c r="BA15" s="139"/>
      <c r="BB15" s="139"/>
      <c r="BC15" s="147" t="str">
        <f t="shared" si="19"/>
        <v/>
      </c>
      <c r="BD15" s="138"/>
      <c r="BE15" s="139"/>
      <c r="BF15" s="139"/>
      <c r="BG15" s="139"/>
      <c r="BH15" s="139"/>
      <c r="BI15" s="140" t="str">
        <f t="shared" si="20"/>
        <v/>
      </c>
      <c r="BJ15" s="138"/>
      <c r="BK15" s="139"/>
      <c r="BL15" s="139"/>
      <c r="BM15" s="139"/>
      <c r="BN15" s="139"/>
      <c r="BO15" s="147" t="str">
        <f t="shared" si="21"/>
        <v/>
      </c>
    </row>
    <row r="16" spans="1:67">
      <c r="A16" s="134" t="str">
        <f>+Liste_services!A15</f>
        <v>Fontan</v>
      </c>
      <c r="B16" s="138"/>
      <c r="C16" s="139"/>
      <c r="D16" s="139"/>
      <c r="E16" s="139"/>
      <c r="F16" s="139"/>
      <c r="G16" s="140" t="str">
        <f t="shared" si="11"/>
        <v/>
      </c>
      <c r="H16" s="138"/>
      <c r="I16" s="139"/>
      <c r="J16" s="139"/>
      <c r="K16" s="139"/>
      <c r="L16" s="139"/>
      <c r="M16" s="140" t="str">
        <f t="shared" si="12"/>
        <v/>
      </c>
      <c r="N16" s="138"/>
      <c r="O16" s="139"/>
      <c r="P16" s="139"/>
      <c r="Q16" s="139"/>
      <c r="R16" s="139"/>
      <c r="S16" s="147" t="str">
        <f t="shared" si="13"/>
        <v/>
      </c>
      <c r="T16" s="138"/>
      <c r="U16" s="139"/>
      <c r="V16" s="139"/>
      <c r="W16" s="139"/>
      <c r="X16" s="139"/>
      <c r="Y16" s="140" t="str">
        <f t="shared" si="14"/>
        <v/>
      </c>
      <c r="Z16" s="138"/>
      <c r="AA16" s="139"/>
      <c r="AB16" s="139"/>
      <c r="AC16" s="139"/>
      <c r="AD16" s="139"/>
      <c r="AE16" s="147" t="str">
        <f t="shared" si="15"/>
        <v/>
      </c>
      <c r="AF16" s="138"/>
      <c r="AG16" s="139"/>
      <c r="AH16" s="139"/>
      <c r="AI16" s="139"/>
      <c r="AJ16" s="139"/>
      <c r="AK16" s="140" t="str">
        <f t="shared" si="16"/>
        <v/>
      </c>
      <c r="AL16" s="138"/>
      <c r="AM16" s="139"/>
      <c r="AN16" s="139"/>
      <c r="AO16" s="139"/>
      <c r="AP16" s="139"/>
      <c r="AQ16" s="147" t="str">
        <f t="shared" si="17"/>
        <v/>
      </c>
      <c r="AR16" s="138"/>
      <c r="AS16" s="139"/>
      <c r="AT16" s="139"/>
      <c r="AU16" s="139"/>
      <c r="AV16" s="139"/>
      <c r="AW16" s="140" t="str">
        <f t="shared" si="18"/>
        <v/>
      </c>
      <c r="AX16" s="138"/>
      <c r="AY16" s="139"/>
      <c r="AZ16" s="139"/>
      <c r="BA16" s="139"/>
      <c r="BB16" s="139"/>
      <c r="BC16" s="147" t="str">
        <f t="shared" si="19"/>
        <v/>
      </c>
      <c r="BD16" s="138"/>
      <c r="BE16" s="139"/>
      <c r="BF16" s="139"/>
      <c r="BG16" s="139"/>
      <c r="BH16" s="139"/>
      <c r="BI16" s="140" t="str">
        <f t="shared" si="20"/>
        <v/>
      </c>
      <c r="BJ16" s="138"/>
      <c r="BK16" s="139"/>
      <c r="BL16" s="139"/>
      <c r="BM16" s="139"/>
      <c r="BN16" s="139"/>
      <c r="BO16" s="147" t="str">
        <f t="shared" si="21"/>
        <v/>
      </c>
    </row>
    <row r="17" spans="1:67">
      <c r="A17" s="134" t="str">
        <f>+Liste_services!A16</f>
        <v>Tende</v>
      </c>
      <c r="B17" s="138"/>
      <c r="C17" s="139"/>
      <c r="D17" s="139"/>
      <c r="E17" s="139"/>
      <c r="F17" s="139"/>
      <c r="G17" s="140" t="str">
        <f t="shared" si="11"/>
        <v/>
      </c>
      <c r="H17" s="138"/>
      <c r="I17" s="139"/>
      <c r="J17" s="139"/>
      <c r="K17" s="139"/>
      <c r="L17" s="139"/>
      <c r="M17" s="140" t="str">
        <f t="shared" si="12"/>
        <v/>
      </c>
      <c r="N17" s="138"/>
      <c r="O17" s="139"/>
      <c r="P17" s="139"/>
      <c r="Q17" s="139"/>
      <c r="R17" s="139"/>
      <c r="S17" s="147" t="str">
        <f t="shared" si="13"/>
        <v/>
      </c>
      <c r="T17" s="138"/>
      <c r="U17" s="139"/>
      <c r="V17" s="139"/>
      <c r="W17" s="139"/>
      <c r="X17" s="139"/>
      <c r="Y17" s="140" t="str">
        <f t="shared" si="14"/>
        <v/>
      </c>
      <c r="Z17" s="138"/>
      <c r="AA17" s="139"/>
      <c r="AB17" s="139"/>
      <c r="AC17" s="139"/>
      <c r="AD17" s="139"/>
      <c r="AE17" s="147" t="str">
        <f t="shared" si="15"/>
        <v/>
      </c>
      <c r="AF17" s="138"/>
      <c r="AG17" s="139"/>
      <c r="AH17" s="139"/>
      <c r="AI17" s="139"/>
      <c r="AJ17" s="139"/>
      <c r="AK17" s="140" t="str">
        <f t="shared" si="16"/>
        <v/>
      </c>
      <c r="AL17" s="138"/>
      <c r="AM17" s="139"/>
      <c r="AN17" s="139"/>
      <c r="AO17" s="139"/>
      <c r="AP17" s="139"/>
      <c r="AQ17" s="147" t="str">
        <f t="shared" si="17"/>
        <v/>
      </c>
      <c r="AR17" s="138"/>
      <c r="AS17" s="139"/>
      <c r="AT17" s="139"/>
      <c r="AU17" s="139"/>
      <c r="AV17" s="139"/>
      <c r="AW17" s="140" t="str">
        <f t="shared" si="18"/>
        <v/>
      </c>
      <c r="AX17" s="138"/>
      <c r="AY17" s="139"/>
      <c r="AZ17" s="139"/>
      <c r="BA17" s="139"/>
      <c r="BB17" s="139"/>
      <c r="BC17" s="147" t="str">
        <f t="shared" si="19"/>
        <v/>
      </c>
      <c r="BD17" s="138"/>
      <c r="BE17" s="139"/>
      <c r="BF17" s="139"/>
      <c r="BG17" s="139"/>
      <c r="BH17" s="139"/>
      <c r="BI17" s="140" t="str">
        <f t="shared" si="20"/>
        <v/>
      </c>
      <c r="BJ17" s="138"/>
      <c r="BK17" s="139"/>
      <c r="BL17" s="139"/>
      <c r="BM17" s="139"/>
      <c r="BN17" s="139"/>
      <c r="BO17" s="147" t="str">
        <f t="shared" si="21"/>
        <v/>
      </c>
    </row>
    <row r="18" spans="1:67">
      <c r="A18" s="134" t="str">
        <f>+Liste_services!A17</f>
        <v>SIECL</v>
      </c>
      <c r="B18" s="138"/>
      <c r="C18" s="139"/>
      <c r="D18" s="139"/>
      <c r="E18" s="139"/>
      <c r="F18" s="139"/>
      <c r="G18" s="140" t="str">
        <f t="shared" si="11"/>
        <v/>
      </c>
      <c r="H18" s="138"/>
      <c r="I18" s="139"/>
      <c r="J18" s="139"/>
      <c r="K18" s="139"/>
      <c r="L18" s="139"/>
      <c r="M18" s="140" t="str">
        <f t="shared" si="12"/>
        <v/>
      </c>
      <c r="N18" s="138"/>
      <c r="O18" s="139"/>
      <c r="P18" s="139"/>
      <c r="Q18" s="139"/>
      <c r="R18" s="139"/>
      <c r="S18" s="147" t="str">
        <f t="shared" si="13"/>
        <v/>
      </c>
      <c r="T18" s="138"/>
      <c r="U18" s="139"/>
      <c r="V18" s="139"/>
      <c r="W18" s="139"/>
      <c r="X18" s="139"/>
      <c r="Y18" s="140" t="str">
        <f t="shared" si="14"/>
        <v/>
      </c>
      <c r="Z18" s="138"/>
      <c r="AA18" s="139"/>
      <c r="AB18" s="139"/>
      <c r="AC18" s="139"/>
      <c r="AD18" s="139"/>
      <c r="AE18" s="147" t="str">
        <f t="shared" si="15"/>
        <v/>
      </c>
      <c r="AF18" s="138"/>
      <c r="AG18" s="139"/>
      <c r="AH18" s="139"/>
      <c r="AI18" s="139"/>
      <c r="AJ18" s="139"/>
      <c r="AK18" s="140" t="str">
        <f t="shared" si="16"/>
        <v/>
      </c>
      <c r="AL18" s="138"/>
      <c r="AM18" s="139">
        <v>99.5</v>
      </c>
      <c r="AN18" s="139">
        <v>99.1</v>
      </c>
      <c r="AO18" s="139">
        <v>100</v>
      </c>
      <c r="AP18" s="139"/>
      <c r="AQ18" s="147">
        <f t="shared" si="17"/>
        <v>99.53</v>
      </c>
      <c r="AR18" s="138"/>
      <c r="AS18" s="139">
        <v>100</v>
      </c>
      <c r="AT18" s="139">
        <v>99.5</v>
      </c>
      <c r="AU18" s="139">
        <v>97.9</v>
      </c>
      <c r="AV18" s="139"/>
      <c r="AW18" s="140">
        <f t="shared" si="18"/>
        <v>99.13</v>
      </c>
      <c r="AX18" s="138"/>
      <c r="AY18" s="139"/>
      <c r="AZ18" s="139"/>
      <c r="BA18" s="139"/>
      <c r="BB18" s="139"/>
      <c r="BC18" s="147" t="str">
        <f t="shared" si="19"/>
        <v/>
      </c>
      <c r="BD18" s="138"/>
      <c r="BE18" s="139"/>
      <c r="BF18" s="139"/>
      <c r="BG18" s="139"/>
      <c r="BH18" s="139"/>
      <c r="BI18" s="140" t="str">
        <f t="shared" si="20"/>
        <v/>
      </c>
      <c r="BJ18" s="138"/>
      <c r="BK18" s="139"/>
      <c r="BL18" s="139"/>
      <c r="BM18" s="139"/>
      <c r="BN18" s="139"/>
      <c r="BO18" s="147" t="str">
        <f t="shared" si="21"/>
        <v/>
      </c>
    </row>
    <row r="19" spans="1:67">
      <c r="A19" s="134" t="str">
        <f>+Liste_services!A18</f>
        <v>SIVOM Villefranche</v>
      </c>
      <c r="B19" s="138"/>
      <c r="C19" s="139"/>
      <c r="D19" s="139"/>
      <c r="E19" s="139"/>
      <c r="F19" s="139"/>
      <c r="G19" s="140" t="str">
        <f t="shared" si="11"/>
        <v/>
      </c>
      <c r="H19" s="138"/>
      <c r="I19" s="139"/>
      <c r="J19" s="139"/>
      <c r="K19" s="139"/>
      <c r="L19" s="139"/>
      <c r="M19" s="140" t="str">
        <f t="shared" si="12"/>
        <v/>
      </c>
      <c r="N19" s="138"/>
      <c r="O19" s="139"/>
      <c r="P19" s="139"/>
      <c r="Q19" s="139"/>
      <c r="R19" s="139"/>
      <c r="S19" s="147" t="str">
        <f t="shared" si="13"/>
        <v/>
      </c>
      <c r="T19" s="138"/>
      <c r="U19" s="139"/>
      <c r="V19" s="139"/>
      <c r="W19" s="139"/>
      <c r="X19" s="139"/>
      <c r="Y19" s="140" t="str">
        <f t="shared" si="14"/>
        <v/>
      </c>
      <c r="Z19" s="138"/>
      <c r="AA19" s="139"/>
      <c r="AB19" s="139"/>
      <c r="AC19" s="139"/>
      <c r="AD19" s="139"/>
      <c r="AE19" s="147" t="str">
        <f t="shared" si="15"/>
        <v/>
      </c>
      <c r="AF19" s="138"/>
      <c r="AG19" s="139"/>
      <c r="AH19" s="139"/>
      <c r="AI19" s="139"/>
      <c r="AJ19" s="139"/>
      <c r="AK19" s="140" t="str">
        <f t="shared" si="16"/>
        <v/>
      </c>
      <c r="AL19" s="138"/>
      <c r="AM19" s="139"/>
      <c r="AN19" s="139"/>
      <c r="AO19" s="139"/>
      <c r="AP19" s="139"/>
      <c r="AQ19" s="147" t="str">
        <f t="shared" si="17"/>
        <v/>
      </c>
      <c r="AR19" s="138"/>
      <c r="AS19" s="139"/>
      <c r="AT19" s="139"/>
      <c r="AU19" s="139"/>
      <c r="AV19" s="139"/>
      <c r="AW19" s="140" t="str">
        <f t="shared" si="18"/>
        <v/>
      </c>
      <c r="AX19" s="138"/>
      <c r="AY19" s="139"/>
      <c r="AZ19" s="139"/>
      <c r="BA19" s="139"/>
      <c r="BB19" s="139"/>
      <c r="BC19" s="147" t="str">
        <f t="shared" si="19"/>
        <v/>
      </c>
      <c r="BD19" s="138"/>
      <c r="BE19" s="139"/>
      <c r="BF19" s="139"/>
      <c r="BG19" s="139"/>
      <c r="BH19" s="139"/>
      <c r="BI19" s="140" t="str">
        <f t="shared" si="20"/>
        <v/>
      </c>
      <c r="BJ19" s="138"/>
      <c r="BK19" s="139"/>
      <c r="BL19" s="139"/>
      <c r="BM19" s="139"/>
      <c r="BN19" s="139"/>
      <c r="BO19" s="147" t="str">
        <f t="shared" si="21"/>
        <v/>
      </c>
    </row>
    <row r="20" spans="1:67">
      <c r="A20" s="134">
        <f>+Liste_services!A19</f>
        <v>0</v>
      </c>
      <c r="B20" s="138"/>
      <c r="C20" s="139"/>
      <c r="D20" s="139"/>
      <c r="E20" s="139"/>
      <c r="F20" s="139"/>
      <c r="G20" s="140" t="str">
        <f t="shared" si="11"/>
        <v/>
      </c>
      <c r="H20" s="138"/>
      <c r="I20" s="139"/>
      <c r="J20" s="139"/>
      <c r="K20" s="139"/>
      <c r="L20" s="139"/>
      <c r="M20" s="140" t="str">
        <f t="shared" si="12"/>
        <v/>
      </c>
      <c r="N20" s="138"/>
      <c r="O20" s="139"/>
      <c r="P20" s="139"/>
      <c r="Q20" s="139"/>
      <c r="R20" s="139"/>
      <c r="S20" s="147" t="str">
        <f t="shared" si="13"/>
        <v/>
      </c>
      <c r="T20" s="138"/>
      <c r="U20" s="139"/>
      <c r="V20" s="139"/>
      <c r="W20" s="139"/>
      <c r="X20" s="139"/>
      <c r="Y20" s="140" t="str">
        <f t="shared" si="14"/>
        <v/>
      </c>
      <c r="Z20" s="138"/>
      <c r="AA20" s="139"/>
      <c r="AB20" s="139"/>
      <c r="AC20" s="139"/>
      <c r="AD20" s="139"/>
      <c r="AE20" s="147" t="str">
        <f t="shared" si="15"/>
        <v/>
      </c>
      <c r="AF20" s="138"/>
      <c r="AG20" s="139"/>
      <c r="AH20" s="139"/>
      <c r="AI20" s="139"/>
      <c r="AJ20" s="139"/>
      <c r="AK20" s="140" t="str">
        <f t="shared" si="16"/>
        <v/>
      </c>
      <c r="AL20" s="138"/>
      <c r="AM20" s="139"/>
      <c r="AN20" s="139"/>
      <c r="AO20" s="139"/>
      <c r="AP20" s="139"/>
      <c r="AQ20" s="147" t="str">
        <f t="shared" si="17"/>
        <v/>
      </c>
      <c r="AR20" s="138"/>
      <c r="AS20" s="139"/>
      <c r="AT20" s="139"/>
      <c r="AU20" s="139"/>
      <c r="AV20" s="139"/>
      <c r="AW20" s="140" t="str">
        <f t="shared" si="18"/>
        <v/>
      </c>
      <c r="AX20" s="138"/>
      <c r="AY20" s="139"/>
      <c r="AZ20" s="139"/>
      <c r="BA20" s="139"/>
      <c r="BB20" s="139"/>
      <c r="BC20" s="147" t="str">
        <f t="shared" si="19"/>
        <v/>
      </c>
      <c r="BD20" s="138"/>
      <c r="BE20" s="139"/>
      <c r="BF20" s="139"/>
      <c r="BG20" s="139"/>
      <c r="BH20" s="139"/>
      <c r="BI20" s="140" t="str">
        <f t="shared" si="20"/>
        <v/>
      </c>
      <c r="BJ20" s="138"/>
      <c r="BK20" s="139"/>
      <c r="BL20" s="139"/>
      <c r="BM20" s="139"/>
      <c r="BN20" s="139"/>
      <c r="BO20" s="147" t="str">
        <f t="shared" si="21"/>
        <v/>
      </c>
    </row>
    <row r="21" spans="1:67">
      <c r="A21" s="134">
        <f>+Liste_services!A20</f>
        <v>0</v>
      </c>
      <c r="B21" s="138"/>
      <c r="C21" s="139"/>
      <c r="D21" s="139"/>
      <c r="E21" s="139"/>
      <c r="F21" s="139"/>
      <c r="G21" s="140" t="str">
        <f t="shared" si="11"/>
        <v/>
      </c>
      <c r="H21" s="138"/>
      <c r="I21" s="139"/>
      <c r="J21" s="139"/>
      <c r="K21" s="139"/>
      <c r="L21" s="139"/>
      <c r="M21" s="140" t="str">
        <f t="shared" si="12"/>
        <v/>
      </c>
      <c r="N21" s="138"/>
      <c r="O21" s="139"/>
      <c r="P21" s="139"/>
      <c r="Q21" s="139"/>
      <c r="R21" s="139"/>
      <c r="S21" s="147" t="str">
        <f t="shared" si="13"/>
        <v/>
      </c>
      <c r="T21" s="138"/>
      <c r="U21" s="139"/>
      <c r="V21" s="139"/>
      <c r="W21" s="139"/>
      <c r="X21" s="139"/>
      <c r="Y21" s="140" t="str">
        <f t="shared" si="14"/>
        <v/>
      </c>
      <c r="Z21" s="138"/>
      <c r="AA21" s="139"/>
      <c r="AB21" s="139"/>
      <c r="AC21" s="139"/>
      <c r="AD21" s="139"/>
      <c r="AE21" s="147" t="str">
        <f t="shared" si="15"/>
        <v/>
      </c>
      <c r="AF21" s="138"/>
      <c r="AG21" s="139"/>
      <c r="AH21" s="139"/>
      <c r="AI21" s="139"/>
      <c r="AJ21" s="139"/>
      <c r="AK21" s="140" t="str">
        <f t="shared" si="16"/>
        <v/>
      </c>
      <c r="AL21" s="138"/>
      <c r="AM21" s="139"/>
      <c r="AN21" s="139"/>
      <c r="AO21" s="139"/>
      <c r="AP21" s="139"/>
      <c r="AQ21" s="147" t="str">
        <f t="shared" si="17"/>
        <v/>
      </c>
      <c r="AR21" s="138"/>
      <c r="AS21" s="139"/>
      <c r="AT21" s="139"/>
      <c r="AU21" s="139"/>
      <c r="AV21" s="139"/>
      <c r="AW21" s="140" t="str">
        <f t="shared" si="18"/>
        <v/>
      </c>
      <c r="AX21" s="138"/>
      <c r="AY21" s="139"/>
      <c r="AZ21" s="139"/>
      <c r="BA21" s="139"/>
      <c r="BB21" s="139"/>
      <c r="BC21" s="147" t="str">
        <f t="shared" si="19"/>
        <v/>
      </c>
      <c r="BD21" s="138"/>
      <c r="BE21" s="139"/>
      <c r="BF21" s="139"/>
      <c r="BG21" s="139"/>
      <c r="BH21" s="139"/>
      <c r="BI21" s="140" t="str">
        <f t="shared" si="20"/>
        <v/>
      </c>
      <c r="BJ21" s="138"/>
      <c r="BK21" s="139"/>
      <c r="BL21" s="139"/>
      <c r="BM21" s="139"/>
      <c r="BN21" s="139"/>
      <c r="BO21" s="147" t="str">
        <f t="shared" si="21"/>
        <v/>
      </c>
    </row>
    <row r="22" spans="1:67">
      <c r="A22" s="134">
        <f>+Liste_services!A21</f>
        <v>0</v>
      </c>
      <c r="B22" s="138"/>
      <c r="C22" s="139"/>
      <c r="D22" s="139"/>
      <c r="E22" s="139"/>
      <c r="F22" s="139"/>
      <c r="G22" s="140" t="str">
        <f t="shared" si="11"/>
        <v/>
      </c>
      <c r="H22" s="138"/>
      <c r="I22" s="139"/>
      <c r="J22" s="139"/>
      <c r="K22" s="139"/>
      <c r="L22" s="139"/>
      <c r="M22" s="140" t="str">
        <f t="shared" si="12"/>
        <v/>
      </c>
      <c r="N22" s="138"/>
      <c r="O22" s="139"/>
      <c r="P22" s="139"/>
      <c r="Q22" s="139"/>
      <c r="R22" s="139"/>
      <c r="S22" s="147" t="str">
        <f t="shared" si="13"/>
        <v/>
      </c>
      <c r="T22" s="138"/>
      <c r="U22" s="139"/>
      <c r="V22" s="139"/>
      <c r="W22" s="139"/>
      <c r="X22" s="139"/>
      <c r="Y22" s="140" t="str">
        <f t="shared" si="14"/>
        <v/>
      </c>
      <c r="Z22" s="138"/>
      <c r="AA22" s="139"/>
      <c r="AB22" s="139"/>
      <c r="AC22" s="139"/>
      <c r="AD22" s="139"/>
      <c r="AE22" s="147" t="str">
        <f t="shared" si="15"/>
        <v/>
      </c>
      <c r="AF22" s="138"/>
      <c r="AG22" s="139"/>
      <c r="AH22" s="139"/>
      <c r="AI22" s="139"/>
      <c r="AJ22" s="139"/>
      <c r="AK22" s="140" t="str">
        <f t="shared" si="16"/>
        <v/>
      </c>
      <c r="AL22" s="138"/>
      <c r="AM22" s="139"/>
      <c r="AN22" s="139"/>
      <c r="AO22" s="139"/>
      <c r="AP22" s="139"/>
      <c r="AQ22" s="147" t="str">
        <f t="shared" si="17"/>
        <v/>
      </c>
      <c r="AR22" s="138"/>
      <c r="AS22" s="139"/>
      <c r="AT22" s="139"/>
      <c r="AU22" s="139"/>
      <c r="AV22" s="139"/>
      <c r="AW22" s="140" t="str">
        <f t="shared" si="18"/>
        <v/>
      </c>
      <c r="AX22" s="138"/>
      <c r="AY22" s="139"/>
      <c r="AZ22" s="139"/>
      <c r="BA22" s="139"/>
      <c r="BB22" s="139"/>
      <c r="BC22" s="147" t="str">
        <f t="shared" si="19"/>
        <v/>
      </c>
      <c r="BD22" s="138"/>
      <c r="BE22" s="139"/>
      <c r="BF22" s="139"/>
      <c r="BG22" s="139"/>
      <c r="BH22" s="139"/>
      <c r="BI22" s="140" t="str">
        <f t="shared" si="20"/>
        <v/>
      </c>
      <c r="BJ22" s="138"/>
      <c r="BK22" s="139"/>
      <c r="BL22" s="139"/>
      <c r="BM22" s="139"/>
      <c r="BN22" s="139"/>
      <c r="BO22" s="147" t="str">
        <f t="shared" si="21"/>
        <v/>
      </c>
    </row>
    <row r="23" spans="1:67">
      <c r="A23" s="134">
        <f>+Liste_services!A22</f>
        <v>0</v>
      </c>
      <c r="B23" s="177"/>
      <c r="C23" s="178"/>
      <c r="D23" s="178"/>
      <c r="E23" s="178"/>
      <c r="F23" s="178"/>
      <c r="G23" s="140" t="str">
        <f t="shared" si="11"/>
        <v/>
      </c>
      <c r="H23" s="161"/>
      <c r="I23" s="162"/>
      <c r="J23" s="162"/>
      <c r="K23" s="162"/>
      <c r="L23" s="162"/>
      <c r="M23" s="140" t="str">
        <f t="shared" si="12"/>
        <v/>
      </c>
      <c r="N23" s="163"/>
      <c r="O23" s="164"/>
      <c r="P23" s="164"/>
      <c r="Q23" s="164"/>
      <c r="R23" s="164"/>
      <c r="S23" s="147" t="str">
        <f t="shared" si="13"/>
        <v/>
      </c>
      <c r="T23" s="138"/>
      <c r="U23" s="139"/>
      <c r="V23" s="139"/>
      <c r="W23" s="139"/>
      <c r="X23" s="139"/>
      <c r="Y23" s="140" t="str">
        <f t="shared" si="14"/>
        <v/>
      </c>
      <c r="Z23" s="165"/>
      <c r="AA23" s="166"/>
      <c r="AB23" s="166"/>
      <c r="AC23" s="166"/>
      <c r="AD23" s="166"/>
      <c r="AE23" s="147" t="str">
        <f t="shared" si="15"/>
        <v/>
      </c>
      <c r="AF23" s="167"/>
      <c r="AG23" s="168"/>
      <c r="AH23" s="168"/>
      <c r="AI23" s="168"/>
      <c r="AJ23" s="168"/>
      <c r="AK23" s="140" t="str">
        <f t="shared" si="16"/>
        <v/>
      </c>
      <c r="AL23" s="169"/>
      <c r="AM23" s="170"/>
      <c r="AN23" s="170"/>
      <c r="AO23" s="170"/>
      <c r="AP23" s="170"/>
      <c r="AQ23" s="147" t="str">
        <f t="shared" si="17"/>
        <v/>
      </c>
      <c r="AR23" s="171"/>
      <c r="AS23" s="172"/>
      <c r="AT23" s="172"/>
      <c r="AU23" s="172"/>
      <c r="AV23" s="172"/>
      <c r="AW23" s="140" t="str">
        <f t="shared" si="18"/>
        <v/>
      </c>
      <c r="AX23" s="138"/>
      <c r="AY23" s="139"/>
      <c r="AZ23" s="139"/>
      <c r="BA23" s="139"/>
      <c r="BB23" s="139"/>
      <c r="BC23" s="147" t="str">
        <f t="shared" si="19"/>
        <v/>
      </c>
      <c r="BD23" s="173"/>
      <c r="BE23" s="174"/>
      <c r="BF23" s="174"/>
      <c r="BG23" s="174"/>
      <c r="BH23" s="174"/>
      <c r="BI23" s="140" t="str">
        <f t="shared" si="20"/>
        <v/>
      </c>
      <c r="BJ23" s="175"/>
      <c r="BK23" s="176"/>
      <c r="BL23" s="176"/>
      <c r="BM23" s="176"/>
      <c r="BN23" s="176"/>
      <c r="BO23" s="147" t="str">
        <f t="shared" si="21"/>
        <v/>
      </c>
    </row>
    <row r="24" spans="1:67">
      <c r="A24" s="134">
        <f>+Liste_services!A23</f>
        <v>0</v>
      </c>
      <c r="B24" s="177"/>
      <c r="C24" s="178"/>
      <c r="D24" s="178"/>
      <c r="E24" s="178"/>
      <c r="F24" s="178"/>
      <c r="G24" s="140" t="str">
        <f t="shared" si="11"/>
        <v/>
      </c>
      <c r="H24" s="161"/>
      <c r="I24" s="162"/>
      <c r="J24" s="162"/>
      <c r="K24" s="162"/>
      <c r="L24" s="162"/>
      <c r="M24" s="140" t="str">
        <f t="shared" si="12"/>
        <v/>
      </c>
      <c r="N24" s="163"/>
      <c r="O24" s="164"/>
      <c r="P24" s="164"/>
      <c r="Q24" s="164"/>
      <c r="R24" s="164"/>
      <c r="S24" s="147" t="str">
        <f t="shared" si="13"/>
        <v/>
      </c>
      <c r="T24" s="138"/>
      <c r="U24" s="139"/>
      <c r="V24" s="139"/>
      <c r="W24" s="139"/>
      <c r="X24" s="139"/>
      <c r="Y24" s="140" t="str">
        <f t="shared" si="14"/>
        <v/>
      </c>
      <c r="Z24" s="165"/>
      <c r="AA24" s="166"/>
      <c r="AB24" s="166"/>
      <c r="AC24" s="166"/>
      <c r="AD24" s="166"/>
      <c r="AE24" s="147" t="str">
        <f t="shared" si="15"/>
        <v/>
      </c>
      <c r="AF24" s="167"/>
      <c r="AG24" s="168"/>
      <c r="AH24" s="168"/>
      <c r="AI24" s="168"/>
      <c r="AJ24" s="168"/>
      <c r="AK24" s="140" t="str">
        <f t="shared" si="16"/>
        <v/>
      </c>
      <c r="AL24" s="169"/>
      <c r="AM24" s="170"/>
      <c r="AN24" s="170"/>
      <c r="AO24" s="170"/>
      <c r="AP24" s="170"/>
      <c r="AQ24" s="147" t="str">
        <f t="shared" si="17"/>
        <v/>
      </c>
      <c r="AR24" s="171"/>
      <c r="AS24" s="172"/>
      <c r="AT24" s="172"/>
      <c r="AU24" s="172"/>
      <c r="AV24" s="172"/>
      <c r="AW24" s="140" t="str">
        <f t="shared" si="18"/>
        <v/>
      </c>
      <c r="AX24" s="138"/>
      <c r="AY24" s="139"/>
      <c r="AZ24" s="139"/>
      <c r="BA24" s="139"/>
      <c r="BB24" s="139"/>
      <c r="BC24" s="147" t="str">
        <f t="shared" si="19"/>
        <v/>
      </c>
      <c r="BD24" s="173"/>
      <c r="BE24" s="174"/>
      <c r="BF24" s="174"/>
      <c r="BG24" s="174"/>
      <c r="BH24" s="174"/>
      <c r="BI24" s="140" t="str">
        <f t="shared" si="20"/>
        <v/>
      </c>
      <c r="BJ24" s="175"/>
      <c r="BK24" s="176"/>
      <c r="BL24" s="176"/>
      <c r="BM24" s="176"/>
      <c r="BN24" s="176"/>
      <c r="BO24" s="147" t="str">
        <f t="shared" si="21"/>
        <v/>
      </c>
    </row>
    <row r="25" spans="1:67">
      <c r="A25" s="134">
        <f>+Liste_services!A24</f>
        <v>0</v>
      </c>
      <c r="B25" s="177"/>
      <c r="C25" s="178"/>
      <c r="D25" s="178"/>
      <c r="E25" s="178"/>
      <c r="F25" s="178"/>
      <c r="G25" s="140" t="str">
        <f t="shared" si="11"/>
        <v/>
      </c>
      <c r="H25" s="161"/>
      <c r="I25" s="162"/>
      <c r="J25" s="162"/>
      <c r="K25" s="162"/>
      <c r="L25" s="162"/>
      <c r="M25" s="140" t="str">
        <f t="shared" si="12"/>
        <v/>
      </c>
      <c r="N25" s="163"/>
      <c r="O25" s="164"/>
      <c r="P25" s="164"/>
      <c r="Q25" s="164"/>
      <c r="R25" s="164"/>
      <c r="S25" s="147" t="str">
        <f t="shared" si="13"/>
        <v/>
      </c>
      <c r="T25" s="138"/>
      <c r="U25" s="139"/>
      <c r="V25" s="139"/>
      <c r="W25" s="139"/>
      <c r="X25" s="139"/>
      <c r="Y25" s="140" t="str">
        <f t="shared" si="14"/>
        <v/>
      </c>
      <c r="Z25" s="165"/>
      <c r="AA25" s="166"/>
      <c r="AB25" s="166"/>
      <c r="AC25" s="166"/>
      <c r="AD25" s="166"/>
      <c r="AE25" s="147" t="str">
        <f t="shared" si="15"/>
        <v/>
      </c>
      <c r="AF25" s="167"/>
      <c r="AG25" s="168"/>
      <c r="AH25" s="168"/>
      <c r="AI25" s="168"/>
      <c r="AJ25" s="168"/>
      <c r="AK25" s="140" t="str">
        <f t="shared" si="16"/>
        <v/>
      </c>
      <c r="AL25" s="169"/>
      <c r="AM25" s="170"/>
      <c r="AN25" s="170"/>
      <c r="AO25" s="170"/>
      <c r="AP25" s="170"/>
      <c r="AQ25" s="147" t="str">
        <f t="shared" si="17"/>
        <v/>
      </c>
      <c r="AR25" s="171"/>
      <c r="AS25" s="172"/>
      <c r="AT25" s="172"/>
      <c r="AU25" s="172"/>
      <c r="AV25" s="172"/>
      <c r="AW25" s="140" t="str">
        <f t="shared" si="18"/>
        <v/>
      </c>
      <c r="AX25" s="138"/>
      <c r="AY25" s="139"/>
      <c r="AZ25" s="139"/>
      <c r="BA25" s="139"/>
      <c r="BB25" s="139"/>
      <c r="BC25" s="147" t="str">
        <f t="shared" si="19"/>
        <v/>
      </c>
      <c r="BD25" s="173"/>
      <c r="BE25" s="174"/>
      <c r="BF25" s="174"/>
      <c r="BG25" s="174"/>
      <c r="BH25" s="174"/>
      <c r="BI25" s="140" t="str">
        <f t="shared" si="20"/>
        <v/>
      </c>
      <c r="BJ25" s="175"/>
      <c r="BK25" s="176"/>
      <c r="BL25" s="176"/>
      <c r="BM25" s="176"/>
      <c r="BN25" s="176"/>
      <c r="BO25" s="147" t="str">
        <f t="shared" si="21"/>
        <v/>
      </c>
    </row>
    <row r="26" spans="1:67">
      <c r="A26" s="134">
        <f>+Liste_services!A25</f>
        <v>0</v>
      </c>
      <c r="B26" s="177"/>
      <c r="C26" s="178"/>
      <c r="D26" s="178"/>
      <c r="E26" s="178"/>
      <c r="F26" s="178"/>
      <c r="G26" s="140" t="str">
        <f t="shared" si="11"/>
        <v/>
      </c>
      <c r="H26" s="161"/>
      <c r="I26" s="162"/>
      <c r="J26" s="162"/>
      <c r="K26" s="162"/>
      <c r="L26" s="162"/>
      <c r="M26" s="140" t="str">
        <f t="shared" si="12"/>
        <v/>
      </c>
      <c r="N26" s="163"/>
      <c r="O26" s="164"/>
      <c r="P26" s="164"/>
      <c r="Q26" s="164"/>
      <c r="R26" s="164"/>
      <c r="S26" s="147" t="str">
        <f t="shared" si="13"/>
        <v/>
      </c>
      <c r="T26" s="138"/>
      <c r="U26" s="139"/>
      <c r="V26" s="139"/>
      <c r="W26" s="139"/>
      <c r="X26" s="139"/>
      <c r="Y26" s="140" t="str">
        <f t="shared" si="14"/>
        <v/>
      </c>
      <c r="Z26" s="165"/>
      <c r="AA26" s="166"/>
      <c r="AB26" s="166"/>
      <c r="AC26" s="166"/>
      <c r="AD26" s="166"/>
      <c r="AE26" s="147" t="str">
        <f t="shared" si="15"/>
        <v/>
      </c>
      <c r="AF26" s="167"/>
      <c r="AG26" s="168"/>
      <c r="AH26" s="168"/>
      <c r="AI26" s="168"/>
      <c r="AJ26" s="168"/>
      <c r="AK26" s="140" t="str">
        <f t="shared" si="16"/>
        <v/>
      </c>
      <c r="AL26" s="169"/>
      <c r="AM26" s="170"/>
      <c r="AN26" s="170"/>
      <c r="AO26" s="170"/>
      <c r="AP26" s="170"/>
      <c r="AQ26" s="147" t="str">
        <f t="shared" si="17"/>
        <v/>
      </c>
      <c r="AR26" s="171"/>
      <c r="AS26" s="172"/>
      <c r="AT26" s="172"/>
      <c r="AU26" s="172"/>
      <c r="AV26" s="172"/>
      <c r="AW26" s="140" t="str">
        <f t="shared" si="18"/>
        <v/>
      </c>
      <c r="AX26" s="138"/>
      <c r="AY26" s="139"/>
      <c r="AZ26" s="139"/>
      <c r="BA26" s="139"/>
      <c r="BB26" s="139"/>
      <c r="BC26" s="147" t="str">
        <f t="shared" si="19"/>
        <v/>
      </c>
      <c r="BD26" s="173"/>
      <c r="BE26" s="174"/>
      <c r="BF26" s="174"/>
      <c r="BG26" s="174"/>
      <c r="BH26" s="174"/>
      <c r="BI26" s="140" t="str">
        <f t="shared" si="20"/>
        <v/>
      </c>
      <c r="BJ26" s="175"/>
      <c r="BK26" s="176"/>
      <c r="BL26" s="176"/>
      <c r="BM26" s="176"/>
      <c r="BN26" s="176"/>
      <c r="BO26" s="147" t="str">
        <f t="shared" si="21"/>
        <v/>
      </c>
    </row>
    <row r="27" spans="1:67">
      <c r="A27" s="134">
        <f>+Liste_services!A26</f>
        <v>0</v>
      </c>
      <c r="B27" s="177"/>
      <c r="C27" s="178"/>
      <c r="D27" s="178"/>
      <c r="E27" s="178"/>
      <c r="F27" s="178"/>
      <c r="G27" s="140" t="str">
        <f t="shared" si="11"/>
        <v/>
      </c>
      <c r="H27" s="161"/>
      <c r="I27" s="162"/>
      <c r="J27" s="162"/>
      <c r="K27" s="162"/>
      <c r="L27" s="162"/>
      <c r="M27" s="140" t="str">
        <f t="shared" si="12"/>
        <v/>
      </c>
      <c r="N27" s="163"/>
      <c r="O27" s="164"/>
      <c r="P27" s="164"/>
      <c r="Q27" s="164"/>
      <c r="R27" s="164"/>
      <c r="S27" s="147" t="str">
        <f t="shared" si="13"/>
        <v/>
      </c>
      <c r="T27" s="138"/>
      <c r="U27" s="139"/>
      <c r="V27" s="139"/>
      <c r="W27" s="139"/>
      <c r="X27" s="139"/>
      <c r="Y27" s="140" t="str">
        <f t="shared" si="14"/>
        <v/>
      </c>
      <c r="Z27" s="165"/>
      <c r="AA27" s="166"/>
      <c r="AB27" s="166"/>
      <c r="AC27" s="166"/>
      <c r="AD27" s="166"/>
      <c r="AE27" s="147" t="str">
        <f t="shared" si="15"/>
        <v/>
      </c>
      <c r="AF27" s="167"/>
      <c r="AG27" s="168"/>
      <c r="AH27" s="168"/>
      <c r="AI27" s="168"/>
      <c r="AJ27" s="168"/>
      <c r="AK27" s="140" t="str">
        <f t="shared" si="16"/>
        <v/>
      </c>
      <c r="AL27" s="169"/>
      <c r="AM27" s="170"/>
      <c r="AN27" s="170"/>
      <c r="AO27" s="170"/>
      <c r="AP27" s="170"/>
      <c r="AQ27" s="147" t="str">
        <f t="shared" si="17"/>
        <v/>
      </c>
      <c r="AR27" s="171"/>
      <c r="AS27" s="172"/>
      <c r="AT27" s="172"/>
      <c r="AU27" s="172"/>
      <c r="AV27" s="172"/>
      <c r="AW27" s="140" t="str">
        <f t="shared" si="18"/>
        <v/>
      </c>
      <c r="AX27" s="138"/>
      <c r="AY27" s="139"/>
      <c r="AZ27" s="139"/>
      <c r="BA27" s="139"/>
      <c r="BB27" s="139"/>
      <c r="BC27" s="147" t="str">
        <f t="shared" si="19"/>
        <v/>
      </c>
      <c r="BD27" s="173"/>
      <c r="BE27" s="174"/>
      <c r="BF27" s="174"/>
      <c r="BG27" s="174"/>
      <c r="BH27" s="174"/>
      <c r="BI27" s="140" t="str">
        <f t="shared" si="20"/>
        <v/>
      </c>
      <c r="BJ27" s="175"/>
      <c r="BK27" s="176"/>
      <c r="BL27" s="176"/>
      <c r="BM27" s="176"/>
      <c r="BN27" s="176"/>
      <c r="BO27" s="147" t="str">
        <f t="shared" si="21"/>
        <v/>
      </c>
    </row>
    <row r="28" spans="1:67">
      <c r="A28" s="134">
        <f>+Liste_services!A27</f>
        <v>0</v>
      </c>
      <c r="B28" s="177"/>
      <c r="C28" s="178"/>
      <c r="D28" s="178"/>
      <c r="E28" s="178"/>
      <c r="F28" s="178"/>
      <c r="G28" s="140" t="str">
        <f t="shared" si="11"/>
        <v/>
      </c>
      <c r="H28" s="161"/>
      <c r="I28" s="162"/>
      <c r="J28" s="162"/>
      <c r="K28" s="162"/>
      <c r="L28" s="162"/>
      <c r="M28" s="140" t="str">
        <f t="shared" si="12"/>
        <v/>
      </c>
      <c r="N28" s="163"/>
      <c r="O28" s="164"/>
      <c r="P28" s="164"/>
      <c r="Q28" s="164"/>
      <c r="R28" s="164"/>
      <c r="S28" s="147" t="str">
        <f t="shared" si="13"/>
        <v/>
      </c>
      <c r="T28" s="138"/>
      <c r="U28" s="139"/>
      <c r="V28" s="139"/>
      <c r="W28" s="139"/>
      <c r="X28" s="139"/>
      <c r="Y28" s="140" t="str">
        <f t="shared" si="14"/>
        <v/>
      </c>
      <c r="Z28" s="165"/>
      <c r="AA28" s="166"/>
      <c r="AB28" s="166"/>
      <c r="AC28" s="166"/>
      <c r="AD28" s="166"/>
      <c r="AE28" s="147" t="str">
        <f t="shared" si="15"/>
        <v/>
      </c>
      <c r="AF28" s="167"/>
      <c r="AG28" s="168"/>
      <c r="AH28" s="168"/>
      <c r="AI28" s="168"/>
      <c r="AJ28" s="168"/>
      <c r="AK28" s="140" t="str">
        <f t="shared" si="16"/>
        <v/>
      </c>
      <c r="AL28" s="169"/>
      <c r="AM28" s="170"/>
      <c r="AN28" s="170"/>
      <c r="AO28" s="170"/>
      <c r="AP28" s="170"/>
      <c r="AQ28" s="147" t="str">
        <f t="shared" si="17"/>
        <v/>
      </c>
      <c r="AR28" s="171"/>
      <c r="AS28" s="172"/>
      <c r="AT28" s="172"/>
      <c r="AU28" s="172"/>
      <c r="AV28" s="172"/>
      <c r="AW28" s="140" t="str">
        <f t="shared" si="18"/>
        <v/>
      </c>
      <c r="AX28" s="138"/>
      <c r="AY28" s="139"/>
      <c r="AZ28" s="139"/>
      <c r="BA28" s="139"/>
      <c r="BB28" s="139"/>
      <c r="BC28" s="147" t="str">
        <f t="shared" si="19"/>
        <v/>
      </c>
      <c r="BD28" s="173"/>
      <c r="BE28" s="174"/>
      <c r="BF28" s="174"/>
      <c r="BG28" s="174"/>
      <c r="BH28" s="174"/>
      <c r="BI28" s="140" t="str">
        <f t="shared" si="20"/>
        <v/>
      </c>
      <c r="BJ28" s="175"/>
      <c r="BK28" s="176"/>
      <c r="BL28" s="176"/>
      <c r="BM28" s="176"/>
      <c r="BN28" s="176"/>
      <c r="BO28" s="147" t="str">
        <f t="shared" si="21"/>
        <v/>
      </c>
    </row>
    <row r="29" spans="1:67">
      <c r="A29" s="134">
        <f>+Liste_services!A28</f>
        <v>0</v>
      </c>
      <c r="B29" s="177"/>
      <c r="C29" s="178"/>
      <c r="D29" s="178"/>
      <c r="E29" s="178"/>
      <c r="F29" s="178"/>
      <c r="G29" s="140" t="str">
        <f t="shared" si="11"/>
        <v/>
      </c>
      <c r="H29" s="161"/>
      <c r="I29" s="162"/>
      <c r="J29" s="162"/>
      <c r="K29" s="162"/>
      <c r="L29" s="162"/>
      <c r="M29" s="140" t="str">
        <f t="shared" si="12"/>
        <v/>
      </c>
      <c r="N29" s="163"/>
      <c r="O29" s="164"/>
      <c r="P29" s="164"/>
      <c r="Q29" s="164"/>
      <c r="R29" s="164"/>
      <c r="S29" s="147" t="str">
        <f t="shared" si="13"/>
        <v/>
      </c>
      <c r="T29" s="138"/>
      <c r="U29" s="139"/>
      <c r="V29" s="139"/>
      <c r="W29" s="139"/>
      <c r="X29" s="139"/>
      <c r="Y29" s="140" t="str">
        <f t="shared" si="14"/>
        <v/>
      </c>
      <c r="Z29" s="165"/>
      <c r="AA29" s="166"/>
      <c r="AB29" s="166"/>
      <c r="AC29" s="166"/>
      <c r="AD29" s="166"/>
      <c r="AE29" s="147" t="str">
        <f t="shared" si="15"/>
        <v/>
      </c>
      <c r="AF29" s="167"/>
      <c r="AG29" s="168"/>
      <c r="AH29" s="168"/>
      <c r="AI29" s="168"/>
      <c r="AJ29" s="168"/>
      <c r="AK29" s="140" t="str">
        <f t="shared" si="16"/>
        <v/>
      </c>
      <c r="AL29" s="169"/>
      <c r="AM29" s="170"/>
      <c r="AN29" s="170"/>
      <c r="AO29" s="170"/>
      <c r="AP29" s="170"/>
      <c r="AQ29" s="147" t="str">
        <f t="shared" si="17"/>
        <v/>
      </c>
      <c r="AR29" s="171"/>
      <c r="AS29" s="172"/>
      <c r="AT29" s="172"/>
      <c r="AU29" s="172"/>
      <c r="AV29" s="172"/>
      <c r="AW29" s="140" t="str">
        <f t="shared" si="18"/>
        <v/>
      </c>
      <c r="AX29" s="138"/>
      <c r="AY29" s="139"/>
      <c r="AZ29" s="139"/>
      <c r="BA29" s="139"/>
      <c r="BB29" s="139"/>
      <c r="BC29" s="147" t="str">
        <f t="shared" si="19"/>
        <v/>
      </c>
      <c r="BD29" s="173"/>
      <c r="BE29" s="174"/>
      <c r="BF29" s="174"/>
      <c r="BG29" s="174"/>
      <c r="BH29" s="174"/>
      <c r="BI29" s="140" t="str">
        <f t="shared" si="20"/>
        <v/>
      </c>
      <c r="BJ29" s="175"/>
      <c r="BK29" s="176"/>
      <c r="BL29" s="176"/>
      <c r="BM29" s="176"/>
      <c r="BN29" s="176"/>
      <c r="BO29" s="147" t="str">
        <f t="shared" si="21"/>
        <v/>
      </c>
    </row>
    <row r="30" spans="1:67">
      <c r="A30" s="134">
        <f>+Liste_services!A29</f>
        <v>0</v>
      </c>
      <c r="B30" s="177"/>
      <c r="C30" s="178"/>
      <c r="D30" s="178"/>
      <c r="E30" s="178"/>
      <c r="F30" s="178"/>
      <c r="G30" s="140" t="str">
        <f t="shared" si="11"/>
        <v/>
      </c>
      <c r="H30" s="161"/>
      <c r="I30" s="162"/>
      <c r="J30" s="162"/>
      <c r="K30" s="162"/>
      <c r="L30" s="162"/>
      <c r="M30" s="140" t="str">
        <f t="shared" si="12"/>
        <v/>
      </c>
      <c r="N30" s="163"/>
      <c r="O30" s="164"/>
      <c r="P30" s="164"/>
      <c r="Q30" s="164"/>
      <c r="R30" s="164"/>
      <c r="S30" s="147" t="str">
        <f t="shared" si="13"/>
        <v/>
      </c>
      <c r="T30" s="138"/>
      <c r="U30" s="139"/>
      <c r="V30" s="139"/>
      <c r="W30" s="139"/>
      <c r="X30" s="139"/>
      <c r="Y30" s="140" t="str">
        <f t="shared" si="14"/>
        <v/>
      </c>
      <c r="Z30" s="165"/>
      <c r="AA30" s="166"/>
      <c r="AB30" s="166"/>
      <c r="AC30" s="166"/>
      <c r="AD30" s="166"/>
      <c r="AE30" s="147" t="str">
        <f t="shared" si="15"/>
        <v/>
      </c>
      <c r="AF30" s="167"/>
      <c r="AG30" s="168"/>
      <c r="AH30" s="168"/>
      <c r="AI30" s="168"/>
      <c r="AJ30" s="168"/>
      <c r="AK30" s="140" t="str">
        <f t="shared" si="16"/>
        <v/>
      </c>
      <c r="AL30" s="169"/>
      <c r="AM30" s="170"/>
      <c r="AN30" s="170"/>
      <c r="AO30" s="170"/>
      <c r="AP30" s="170"/>
      <c r="AQ30" s="147" t="str">
        <f t="shared" si="17"/>
        <v/>
      </c>
      <c r="AR30" s="171"/>
      <c r="AS30" s="172"/>
      <c r="AT30" s="172"/>
      <c r="AU30" s="172"/>
      <c r="AV30" s="172"/>
      <c r="AW30" s="140" t="str">
        <f t="shared" si="18"/>
        <v/>
      </c>
      <c r="AX30" s="138"/>
      <c r="AY30" s="139"/>
      <c r="AZ30" s="139"/>
      <c r="BA30" s="139"/>
      <c r="BB30" s="139"/>
      <c r="BC30" s="147" t="str">
        <f t="shared" si="19"/>
        <v/>
      </c>
      <c r="BD30" s="173"/>
      <c r="BE30" s="174"/>
      <c r="BF30" s="174"/>
      <c r="BG30" s="174"/>
      <c r="BH30" s="174"/>
      <c r="BI30" s="140" t="str">
        <f t="shared" si="20"/>
        <v/>
      </c>
      <c r="BJ30" s="175"/>
      <c r="BK30" s="176"/>
      <c r="BL30" s="176"/>
      <c r="BM30" s="176"/>
      <c r="BN30" s="176"/>
      <c r="BO30" s="147" t="str">
        <f t="shared" si="21"/>
        <v/>
      </c>
    </row>
    <row r="31" spans="1:67">
      <c r="A31" s="134">
        <f>+Liste_services!A30</f>
        <v>0</v>
      </c>
      <c r="B31" s="177"/>
      <c r="C31" s="178"/>
      <c r="D31" s="178"/>
      <c r="E31" s="178"/>
      <c r="F31" s="178"/>
      <c r="G31" s="140" t="str">
        <f t="shared" si="11"/>
        <v/>
      </c>
      <c r="H31" s="161"/>
      <c r="I31" s="162"/>
      <c r="J31" s="162"/>
      <c r="K31" s="162"/>
      <c r="L31" s="162"/>
      <c r="M31" s="140" t="str">
        <f t="shared" si="12"/>
        <v/>
      </c>
      <c r="N31" s="163"/>
      <c r="O31" s="164"/>
      <c r="P31" s="164"/>
      <c r="Q31" s="164"/>
      <c r="R31" s="164"/>
      <c r="S31" s="147" t="str">
        <f t="shared" si="13"/>
        <v/>
      </c>
      <c r="T31" s="138"/>
      <c r="U31" s="139"/>
      <c r="V31" s="139"/>
      <c r="W31" s="139"/>
      <c r="X31" s="139"/>
      <c r="Y31" s="140" t="str">
        <f t="shared" si="14"/>
        <v/>
      </c>
      <c r="Z31" s="165"/>
      <c r="AA31" s="166"/>
      <c r="AB31" s="166"/>
      <c r="AC31" s="166"/>
      <c r="AD31" s="166"/>
      <c r="AE31" s="147" t="str">
        <f t="shared" si="15"/>
        <v/>
      </c>
      <c r="AF31" s="167"/>
      <c r="AG31" s="168"/>
      <c r="AH31" s="168"/>
      <c r="AI31" s="168"/>
      <c r="AJ31" s="168"/>
      <c r="AK31" s="140" t="str">
        <f t="shared" si="16"/>
        <v/>
      </c>
      <c r="AL31" s="169"/>
      <c r="AM31" s="170"/>
      <c r="AN31" s="170"/>
      <c r="AO31" s="170"/>
      <c r="AP31" s="170"/>
      <c r="AQ31" s="147" t="str">
        <f t="shared" si="17"/>
        <v/>
      </c>
      <c r="AR31" s="171"/>
      <c r="AS31" s="172"/>
      <c r="AT31" s="172"/>
      <c r="AU31" s="172"/>
      <c r="AV31" s="172"/>
      <c r="AW31" s="140" t="str">
        <f t="shared" si="18"/>
        <v/>
      </c>
      <c r="AX31" s="138"/>
      <c r="AY31" s="139"/>
      <c r="AZ31" s="139"/>
      <c r="BA31" s="139"/>
      <c r="BB31" s="139"/>
      <c r="BC31" s="147" t="str">
        <f t="shared" si="19"/>
        <v/>
      </c>
      <c r="BD31" s="173"/>
      <c r="BE31" s="174"/>
      <c r="BF31" s="174"/>
      <c r="BG31" s="174"/>
      <c r="BH31" s="174"/>
      <c r="BI31" s="140" t="str">
        <f t="shared" si="20"/>
        <v/>
      </c>
      <c r="BJ31" s="175"/>
      <c r="BK31" s="176"/>
      <c r="BL31" s="176"/>
      <c r="BM31" s="176"/>
      <c r="BN31" s="176"/>
      <c r="BO31" s="147" t="str">
        <f t="shared" si="21"/>
        <v/>
      </c>
    </row>
    <row r="32" spans="1:67">
      <c r="A32" s="134">
        <f>+Liste_services!A31</f>
        <v>0</v>
      </c>
      <c r="B32" s="177"/>
      <c r="C32" s="178"/>
      <c r="D32" s="178"/>
      <c r="E32" s="178"/>
      <c r="F32" s="178"/>
      <c r="G32" s="140" t="str">
        <f t="shared" si="11"/>
        <v/>
      </c>
      <c r="H32" s="161"/>
      <c r="I32" s="162"/>
      <c r="J32" s="162"/>
      <c r="K32" s="162"/>
      <c r="L32" s="162"/>
      <c r="M32" s="140" t="str">
        <f t="shared" si="12"/>
        <v/>
      </c>
      <c r="N32" s="163"/>
      <c r="O32" s="164"/>
      <c r="P32" s="164"/>
      <c r="Q32" s="164"/>
      <c r="R32" s="164"/>
      <c r="S32" s="147" t="str">
        <f t="shared" si="13"/>
        <v/>
      </c>
      <c r="T32" s="138"/>
      <c r="U32" s="139"/>
      <c r="V32" s="139"/>
      <c r="W32" s="139"/>
      <c r="X32" s="139"/>
      <c r="Y32" s="140" t="str">
        <f t="shared" si="14"/>
        <v/>
      </c>
      <c r="Z32" s="165"/>
      <c r="AA32" s="166"/>
      <c r="AB32" s="166"/>
      <c r="AC32" s="166"/>
      <c r="AD32" s="166"/>
      <c r="AE32" s="147" t="str">
        <f t="shared" si="15"/>
        <v/>
      </c>
      <c r="AF32" s="167"/>
      <c r="AG32" s="168"/>
      <c r="AH32" s="168"/>
      <c r="AI32" s="168"/>
      <c r="AJ32" s="168"/>
      <c r="AK32" s="140" t="str">
        <f t="shared" si="16"/>
        <v/>
      </c>
      <c r="AL32" s="169"/>
      <c r="AM32" s="170"/>
      <c r="AN32" s="170"/>
      <c r="AO32" s="170"/>
      <c r="AP32" s="170"/>
      <c r="AQ32" s="147" t="str">
        <f t="shared" si="17"/>
        <v/>
      </c>
      <c r="AR32" s="171"/>
      <c r="AS32" s="172"/>
      <c r="AT32" s="172"/>
      <c r="AU32" s="172"/>
      <c r="AV32" s="172"/>
      <c r="AW32" s="140" t="str">
        <f t="shared" si="18"/>
        <v/>
      </c>
      <c r="AX32" s="138"/>
      <c r="AY32" s="139"/>
      <c r="AZ32" s="139"/>
      <c r="BA32" s="139"/>
      <c r="BB32" s="139"/>
      <c r="BC32" s="147" t="str">
        <f t="shared" si="19"/>
        <v/>
      </c>
      <c r="BD32" s="173"/>
      <c r="BE32" s="174"/>
      <c r="BF32" s="174"/>
      <c r="BG32" s="174"/>
      <c r="BH32" s="174"/>
      <c r="BI32" s="140" t="str">
        <f t="shared" si="20"/>
        <v/>
      </c>
      <c r="BJ32" s="175"/>
      <c r="BK32" s="176"/>
      <c r="BL32" s="176"/>
      <c r="BM32" s="176"/>
      <c r="BN32" s="176"/>
      <c r="BO32" s="147" t="str">
        <f t="shared" si="21"/>
        <v/>
      </c>
    </row>
    <row r="33" spans="1:67">
      <c r="A33" s="134">
        <f>+Liste_services!A32</f>
        <v>0</v>
      </c>
      <c r="B33" s="177"/>
      <c r="C33" s="178"/>
      <c r="D33" s="178"/>
      <c r="E33" s="178"/>
      <c r="F33" s="178"/>
      <c r="G33" s="140" t="str">
        <f t="shared" si="11"/>
        <v/>
      </c>
      <c r="H33" s="161"/>
      <c r="I33" s="162"/>
      <c r="J33" s="162"/>
      <c r="K33" s="162"/>
      <c r="L33" s="162"/>
      <c r="M33" s="140" t="str">
        <f t="shared" si="12"/>
        <v/>
      </c>
      <c r="N33" s="163"/>
      <c r="O33" s="164"/>
      <c r="P33" s="164"/>
      <c r="Q33" s="164"/>
      <c r="R33" s="164"/>
      <c r="S33" s="147" t="str">
        <f t="shared" si="13"/>
        <v/>
      </c>
      <c r="T33" s="138"/>
      <c r="U33" s="139"/>
      <c r="V33" s="139"/>
      <c r="W33" s="139"/>
      <c r="X33" s="139"/>
      <c r="Y33" s="140" t="str">
        <f t="shared" si="14"/>
        <v/>
      </c>
      <c r="Z33" s="165"/>
      <c r="AA33" s="166"/>
      <c r="AB33" s="166"/>
      <c r="AC33" s="166"/>
      <c r="AD33" s="166"/>
      <c r="AE33" s="147" t="str">
        <f t="shared" si="15"/>
        <v/>
      </c>
      <c r="AF33" s="167"/>
      <c r="AG33" s="168"/>
      <c r="AH33" s="168"/>
      <c r="AI33" s="168"/>
      <c r="AJ33" s="168"/>
      <c r="AK33" s="140" t="str">
        <f t="shared" si="16"/>
        <v/>
      </c>
      <c r="AL33" s="169"/>
      <c r="AM33" s="170"/>
      <c r="AN33" s="170"/>
      <c r="AO33" s="170"/>
      <c r="AP33" s="170"/>
      <c r="AQ33" s="147" t="str">
        <f t="shared" si="17"/>
        <v/>
      </c>
      <c r="AR33" s="171"/>
      <c r="AS33" s="172"/>
      <c r="AT33" s="172"/>
      <c r="AU33" s="172"/>
      <c r="AV33" s="172"/>
      <c r="AW33" s="140" t="str">
        <f t="shared" si="18"/>
        <v/>
      </c>
      <c r="AX33" s="138"/>
      <c r="AY33" s="139"/>
      <c r="AZ33" s="139"/>
      <c r="BA33" s="139"/>
      <c r="BB33" s="139"/>
      <c r="BC33" s="147" t="str">
        <f t="shared" si="19"/>
        <v/>
      </c>
      <c r="BD33" s="173"/>
      <c r="BE33" s="174"/>
      <c r="BF33" s="174"/>
      <c r="BG33" s="174"/>
      <c r="BH33" s="174"/>
      <c r="BI33" s="140" t="str">
        <f t="shared" si="20"/>
        <v/>
      </c>
      <c r="BJ33" s="175"/>
      <c r="BK33" s="176"/>
      <c r="BL33" s="176"/>
      <c r="BM33" s="176"/>
      <c r="BN33" s="176"/>
      <c r="BO33" s="147" t="str">
        <f t="shared" si="21"/>
        <v/>
      </c>
    </row>
    <row r="34" spans="1:67">
      <c r="A34" s="134">
        <f>+Liste_services!A33</f>
        <v>0</v>
      </c>
      <c r="B34" s="177"/>
      <c r="C34" s="178"/>
      <c r="D34" s="178"/>
      <c r="E34" s="178"/>
      <c r="F34" s="178"/>
      <c r="G34" s="140" t="str">
        <f t="shared" si="11"/>
        <v/>
      </c>
      <c r="H34" s="161"/>
      <c r="I34" s="162"/>
      <c r="J34" s="162"/>
      <c r="K34" s="162"/>
      <c r="L34" s="162"/>
      <c r="M34" s="140" t="str">
        <f t="shared" si="12"/>
        <v/>
      </c>
      <c r="N34" s="163"/>
      <c r="O34" s="164"/>
      <c r="P34" s="164"/>
      <c r="Q34" s="164"/>
      <c r="R34" s="164"/>
      <c r="S34" s="147" t="str">
        <f t="shared" si="13"/>
        <v/>
      </c>
      <c r="T34" s="138"/>
      <c r="U34" s="139"/>
      <c r="V34" s="139"/>
      <c r="W34" s="139"/>
      <c r="X34" s="139"/>
      <c r="Y34" s="140" t="str">
        <f t="shared" si="14"/>
        <v/>
      </c>
      <c r="Z34" s="165"/>
      <c r="AA34" s="166"/>
      <c r="AB34" s="166"/>
      <c r="AC34" s="166"/>
      <c r="AD34" s="166"/>
      <c r="AE34" s="147" t="str">
        <f t="shared" si="15"/>
        <v/>
      </c>
      <c r="AF34" s="167"/>
      <c r="AG34" s="168"/>
      <c r="AH34" s="168"/>
      <c r="AI34" s="168"/>
      <c r="AJ34" s="168"/>
      <c r="AK34" s="140" t="str">
        <f t="shared" si="16"/>
        <v/>
      </c>
      <c r="AL34" s="169"/>
      <c r="AM34" s="170"/>
      <c r="AN34" s="170"/>
      <c r="AO34" s="170"/>
      <c r="AP34" s="170"/>
      <c r="AQ34" s="147" t="str">
        <f t="shared" si="17"/>
        <v/>
      </c>
      <c r="AR34" s="171"/>
      <c r="AS34" s="172"/>
      <c r="AT34" s="172"/>
      <c r="AU34" s="172"/>
      <c r="AV34" s="172"/>
      <c r="AW34" s="140" t="str">
        <f t="shared" si="18"/>
        <v/>
      </c>
      <c r="AX34" s="138"/>
      <c r="AY34" s="139"/>
      <c r="AZ34" s="139"/>
      <c r="BA34" s="139"/>
      <c r="BB34" s="139"/>
      <c r="BC34" s="147" t="str">
        <f t="shared" si="19"/>
        <v/>
      </c>
      <c r="BD34" s="173"/>
      <c r="BE34" s="174"/>
      <c r="BF34" s="174"/>
      <c r="BG34" s="174"/>
      <c r="BH34" s="174"/>
      <c r="BI34" s="140" t="str">
        <f t="shared" si="20"/>
        <v/>
      </c>
      <c r="BJ34" s="175"/>
      <c r="BK34" s="176"/>
      <c r="BL34" s="176"/>
      <c r="BM34" s="176"/>
      <c r="BN34" s="176"/>
      <c r="BO34" s="147" t="str">
        <f t="shared" si="21"/>
        <v/>
      </c>
    </row>
    <row r="35" spans="1:67">
      <c r="A35" s="134">
        <f>+Liste_services!A34</f>
        <v>0</v>
      </c>
      <c r="B35" s="138"/>
      <c r="C35" s="139"/>
      <c r="D35" s="139"/>
      <c r="E35" s="139"/>
      <c r="F35" s="139"/>
      <c r="G35" s="140" t="str">
        <f t="shared" si="11"/>
        <v/>
      </c>
      <c r="H35" s="138"/>
      <c r="I35" s="139"/>
      <c r="J35" s="139"/>
      <c r="K35" s="139"/>
      <c r="L35" s="139"/>
      <c r="M35" s="140" t="str">
        <f t="shared" si="12"/>
        <v/>
      </c>
      <c r="N35" s="138"/>
      <c r="O35" s="139"/>
      <c r="P35" s="139"/>
      <c r="Q35" s="139"/>
      <c r="R35" s="139"/>
      <c r="S35" s="147" t="str">
        <f t="shared" si="13"/>
        <v/>
      </c>
      <c r="T35" s="138"/>
      <c r="U35" s="139"/>
      <c r="V35" s="139"/>
      <c r="W35" s="139"/>
      <c r="X35" s="139"/>
      <c r="Y35" s="140" t="str">
        <f t="shared" si="14"/>
        <v/>
      </c>
      <c r="Z35" s="138"/>
      <c r="AA35" s="139"/>
      <c r="AB35" s="139"/>
      <c r="AC35" s="139"/>
      <c r="AD35" s="139"/>
      <c r="AE35" s="147" t="str">
        <f t="shared" si="15"/>
        <v/>
      </c>
      <c r="AF35" s="138"/>
      <c r="AG35" s="139"/>
      <c r="AH35" s="139"/>
      <c r="AI35" s="139"/>
      <c r="AJ35" s="139"/>
      <c r="AK35" s="140" t="str">
        <f t="shared" si="16"/>
        <v/>
      </c>
      <c r="AL35" s="138"/>
      <c r="AM35" s="139"/>
      <c r="AN35" s="139"/>
      <c r="AO35" s="139"/>
      <c r="AP35" s="139"/>
      <c r="AQ35" s="147" t="str">
        <f t="shared" si="17"/>
        <v/>
      </c>
      <c r="AR35" s="138"/>
      <c r="AS35" s="139"/>
      <c r="AT35" s="139"/>
      <c r="AU35" s="139"/>
      <c r="AV35" s="139"/>
      <c r="AW35" s="140" t="str">
        <f t="shared" si="18"/>
        <v/>
      </c>
      <c r="AX35" s="138"/>
      <c r="AY35" s="139"/>
      <c r="AZ35" s="139"/>
      <c r="BA35" s="139"/>
      <c r="BB35" s="139"/>
      <c r="BC35" s="147" t="str">
        <f t="shared" si="19"/>
        <v/>
      </c>
      <c r="BD35" s="138"/>
      <c r="BE35" s="139"/>
      <c r="BF35" s="139"/>
      <c r="BG35" s="139"/>
      <c r="BH35" s="139"/>
      <c r="BI35" s="140" t="str">
        <f t="shared" si="20"/>
        <v/>
      </c>
      <c r="BJ35" s="138"/>
      <c r="BK35" s="139"/>
      <c r="BL35" s="139"/>
      <c r="BM35" s="139"/>
      <c r="BN35" s="139"/>
      <c r="BO35" s="147" t="str">
        <f t="shared" si="21"/>
        <v/>
      </c>
    </row>
    <row r="36" spans="1:67">
      <c r="A36" s="134">
        <f>+Liste_services!A35</f>
        <v>0</v>
      </c>
      <c r="B36" s="138"/>
      <c r="C36" s="139"/>
      <c r="D36" s="139"/>
      <c r="E36" s="139"/>
      <c r="F36" s="139"/>
      <c r="G36" s="140" t="str">
        <f t="shared" si="11"/>
        <v/>
      </c>
      <c r="H36" s="138"/>
      <c r="I36" s="139"/>
      <c r="J36" s="139"/>
      <c r="K36" s="139"/>
      <c r="L36" s="139"/>
      <c r="M36" s="140" t="str">
        <f t="shared" si="12"/>
        <v/>
      </c>
      <c r="N36" s="138"/>
      <c r="O36" s="139"/>
      <c r="P36" s="139"/>
      <c r="Q36" s="151"/>
      <c r="R36" s="139"/>
      <c r="S36" s="147" t="str">
        <f t="shared" si="13"/>
        <v/>
      </c>
      <c r="T36" s="138"/>
      <c r="U36" s="139"/>
      <c r="V36" s="139"/>
      <c r="W36" s="139"/>
      <c r="X36" s="139"/>
      <c r="Y36" s="140" t="str">
        <f t="shared" si="14"/>
        <v/>
      </c>
      <c r="Z36" s="138"/>
      <c r="AA36" s="139"/>
      <c r="AB36" s="139"/>
      <c r="AC36" s="139"/>
      <c r="AD36" s="139"/>
      <c r="AE36" s="147" t="str">
        <f t="shared" si="15"/>
        <v/>
      </c>
      <c r="AF36" s="138"/>
      <c r="AG36" s="139"/>
      <c r="AH36" s="139"/>
      <c r="AI36" s="139"/>
      <c r="AJ36" s="139"/>
      <c r="AK36" s="140" t="str">
        <f t="shared" si="16"/>
        <v/>
      </c>
      <c r="AL36" s="138"/>
      <c r="AM36" s="139"/>
      <c r="AN36" s="139"/>
      <c r="AO36" s="139"/>
      <c r="AP36" s="139"/>
      <c r="AQ36" s="147" t="str">
        <f t="shared" si="17"/>
        <v/>
      </c>
      <c r="AR36" s="138"/>
      <c r="AS36" s="139"/>
      <c r="AT36" s="139"/>
      <c r="AU36" s="139"/>
      <c r="AV36" s="139"/>
      <c r="AW36" s="140" t="str">
        <f t="shared" si="18"/>
        <v/>
      </c>
      <c r="AX36" s="138"/>
      <c r="AY36" s="139"/>
      <c r="AZ36" s="139"/>
      <c r="BA36" s="139"/>
      <c r="BB36" s="139"/>
      <c r="BC36" s="147" t="str">
        <f t="shared" si="19"/>
        <v/>
      </c>
      <c r="BD36" s="138"/>
      <c r="BE36" s="139"/>
      <c r="BF36" s="139"/>
      <c r="BG36" s="139"/>
      <c r="BH36" s="139"/>
      <c r="BI36" s="140" t="str">
        <f t="shared" si="20"/>
        <v/>
      </c>
      <c r="BJ36" s="138"/>
      <c r="BK36" s="139"/>
      <c r="BL36" s="139"/>
      <c r="BM36" s="139"/>
      <c r="BN36" s="139"/>
      <c r="BO36" s="147" t="str">
        <f t="shared" si="21"/>
        <v/>
      </c>
    </row>
    <row r="37" spans="1:67">
      <c r="A37" s="134">
        <f>+Liste_services!A36</f>
        <v>0</v>
      </c>
      <c r="B37" s="138"/>
      <c r="C37" s="139"/>
      <c r="D37" s="139"/>
      <c r="E37" s="139"/>
      <c r="F37" s="139"/>
      <c r="G37" s="140" t="str">
        <f t="shared" si="11"/>
        <v/>
      </c>
      <c r="H37" s="138"/>
      <c r="I37" s="139"/>
      <c r="J37" s="139"/>
      <c r="K37" s="139"/>
      <c r="L37" s="139"/>
      <c r="M37" s="140" t="str">
        <f t="shared" si="12"/>
        <v/>
      </c>
      <c r="N37" s="138"/>
      <c r="O37" s="139"/>
      <c r="P37" s="139"/>
      <c r="Q37" s="139"/>
      <c r="R37" s="139"/>
      <c r="S37" s="147" t="str">
        <f t="shared" si="13"/>
        <v/>
      </c>
      <c r="T37" s="138"/>
      <c r="U37" s="139"/>
      <c r="V37" s="139"/>
      <c r="W37" s="139"/>
      <c r="X37" s="139"/>
      <c r="Y37" s="140" t="str">
        <f t="shared" si="14"/>
        <v/>
      </c>
      <c r="Z37" s="138"/>
      <c r="AA37" s="139"/>
      <c r="AB37" s="139"/>
      <c r="AC37" s="139"/>
      <c r="AD37" s="139"/>
      <c r="AE37" s="147" t="str">
        <f t="shared" si="15"/>
        <v/>
      </c>
      <c r="AF37" s="138"/>
      <c r="AG37" s="139"/>
      <c r="AH37" s="139"/>
      <c r="AI37" s="139"/>
      <c r="AJ37" s="139"/>
      <c r="AK37" s="140" t="str">
        <f t="shared" si="16"/>
        <v/>
      </c>
      <c r="AL37" s="138"/>
      <c r="AM37" s="139"/>
      <c r="AN37" s="139"/>
      <c r="AO37" s="139"/>
      <c r="AP37" s="139"/>
      <c r="AQ37" s="147" t="str">
        <f t="shared" si="17"/>
        <v/>
      </c>
      <c r="AR37" s="138"/>
      <c r="AS37" s="139"/>
      <c r="AT37" s="139"/>
      <c r="AU37" s="139"/>
      <c r="AV37" s="139"/>
      <c r="AW37" s="140" t="str">
        <f t="shared" si="18"/>
        <v/>
      </c>
      <c r="AX37" s="138"/>
      <c r="AY37" s="139"/>
      <c r="AZ37" s="139"/>
      <c r="BA37" s="139"/>
      <c r="BB37" s="139"/>
      <c r="BC37" s="147" t="str">
        <f t="shared" si="19"/>
        <v/>
      </c>
      <c r="BD37" s="138"/>
      <c r="BE37" s="139"/>
      <c r="BF37" s="139"/>
      <c r="BG37" s="139"/>
      <c r="BH37" s="139"/>
      <c r="BI37" s="140" t="str">
        <f t="shared" si="20"/>
        <v/>
      </c>
      <c r="BJ37" s="138"/>
      <c r="BK37" s="139"/>
      <c r="BL37" s="139"/>
      <c r="BM37" s="139"/>
      <c r="BN37" s="139"/>
      <c r="BO37" s="147" t="str">
        <f t="shared" si="21"/>
        <v/>
      </c>
    </row>
    <row r="38" spans="1:67">
      <c r="A38" s="134">
        <f>+Liste_services!A37</f>
        <v>0</v>
      </c>
      <c r="B38" s="138"/>
      <c r="C38" s="139"/>
      <c r="D38" s="139"/>
      <c r="E38" s="139"/>
      <c r="F38" s="139"/>
      <c r="G38" s="140" t="str">
        <f t="shared" si="11"/>
        <v/>
      </c>
      <c r="H38" s="138"/>
      <c r="I38" s="139"/>
      <c r="J38" s="139"/>
      <c r="K38" s="139"/>
      <c r="L38" s="139"/>
      <c r="M38" s="140" t="str">
        <f t="shared" si="12"/>
        <v/>
      </c>
      <c r="N38" s="138"/>
      <c r="O38" s="139"/>
      <c r="P38" s="139"/>
      <c r="Q38" s="139"/>
      <c r="R38" s="139"/>
      <c r="S38" s="147" t="str">
        <f t="shared" si="13"/>
        <v/>
      </c>
      <c r="T38" s="138"/>
      <c r="U38" s="139"/>
      <c r="V38" s="139"/>
      <c r="W38" s="139"/>
      <c r="X38" s="139"/>
      <c r="Y38" s="140" t="str">
        <f t="shared" si="14"/>
        <v/>
      </c>
      <c r="Z38" s="138"/>
      <c r="AA38" s="139"/>
      <c r="AB38" s="139"/>
      <c r="AC38" s="139"/>
      <c r="AD38" s="139"/>
      <c r="AE38" s="147" t="str">
        <f t="shared" si="15"/>
        <v/>
      </c>
      <c r="AF38" s="138"/>
      <c r="AG38" s="139"/>
      <c r="AH38" s="139"/>
      <c r="AI38" s="139"/>
      <c r="AJ38" s="139"/>
      <c r="AK38" s="140" t="str">
        <f t="shared" si="16"/>
        <v/>
      </c>
      <c r="AL38" s="138"/>
      <c r="AM38" s="139"/>
      <c r="AN38" s="139"/>
      <c r="AO38" s="139"/>
      <c r="AP38" s="139"/>
      <c r="AQ38" s="147" t="str">
        <f t="shared" si="17"/>
        <v/>
      </c>
      <c r="AR38" s="138"/>
      <c r="AS38" s="139"/>
      <c r="AT38" s="139"/>
      <c r="AU38" s="139"/>
      <c r="AV38" s="139"/>
      <c r="AW38" s="140" t="str">
        <f t="shared" si="18"/>
        <v/>
      </c>
      <c r="AX38" s="138"/>
      <c r="AY38" s="139"/>
      <c r="AZ38" s="139"/>
      <c r="BA38" s="139"/>
      <c r="BB38" s="139"/>
      <c r="BC38" s="147" t="str">
        <f t="shared" si="19"/>
        <v/>
      </c>
      <c r="BD38" s="138"/>
      <c r="BE38" s="139"/>
      <c r="BF38" s="139"/>
      <c r="BG38" s="139"/>
      <c r="BH38" s="139"/>
      <c r="BI38" s="140" t="str">
        <f t="shared" si="20"/>
        <v/>
      </c>
      <c r="BJ38" s="138"/>
      <c r="BK38" s="139"/>
      <c r="BL38" s="139"/>
      <c r="BM38" s="139"/>
      <c r="BN38" s="139"/>
      <c r="BO38" s="147" t="str">
        <f t="shared" si="21"/>
        <v/>
      </c>
    </row>
    <row r="39" spans="1:67">
      <c r="A39" s="134">
        <f>+Liste_services!A38</f>
        <v>0</v>
      </c>
      <c r="B39" s="138"/>
      <c r="C39" s="139"/>
      <c r="D39" s="139"/>
      <c r="E39" s="139"/>
      <c r="F39" s="139"/>
      <c r="G39" s="140" t="str">
        <f t="shared" si="11"/>
        <v/>
      </c>
      <c r="H39" s="138"/>
      <c r="I39" s="139"/>
      <c r="J39" s="139"/>
      <c r="K39" s="139"/>
      <c r="L39" s="139"/>
      <c r="M39" s="140" t="str">
        <f t="shared" si="12"/>
        <v/>
      </c>
      <c r="N39" s="138"/>
      <c r="O39" s="139"/>
      <c r="P39" s="139"/>
      <c r="Q39" s="139"/>
      <c r="R39" s="139"/>
      <c r="S39" s="147" t="str">
        <f t="shared" si="13"/>
        <v/>
      </c>
      <c r="T39" s="138"/>
      <c r="U39" s="139"/>
      <c r="V39" s="139"/>
      <c r="W39" s="139"/>
      <c r="X39" s="139"/>
      <c r="Y39" s="140" t="str">
        <f t="shared" si="14"/>
        <v/>
      </c>
      <c r="Z39" s="138"/>
      <c r="AA39" s="139"/>
      <c r="AB39" s="139"/>
      <c r="AC39" s="139"/>
      <c r="AD39" s="139"/>
      <c r="AE39" s="147" t="str">
        <f t="shared" si="15"/>
        <v/>
      </c>
      <c r="AF39" s="138"/>
      <c r="AG39" s="139"/>
      <c r="AH39" s="139"/>
      <c r="AI39" s="139"/>
      <c r="AJ39" s="139"/>
      <c r="AK39" s="140" t="str">
        <f t="shared" si="16"/>
        <v/>
      </c>
      <c r="AL39" s="138"/>
      <c r="AM39" s="139"/>
      <c r="AN39" s="139"/>
      <c r="AO39" s="139"/>
      <c r="AP39" s="139"/>
      <c r="AQ39" s="147" t="str">
        <f t="shared" si="17"/>
        <v/>
      </c>
      <c r="AR39" s="138"/>
      <c r="AS39" s="139"/>
      <c r="AT39" s="139"/>
      <c r="AU39" s="139"/>
      <c r="AV39" s="139"/>
      <c r="AW39" s="140" t="str">
        <f t="shared" si="18"/>
        <v/>
      </c>
      <c r="AX39" s="138"/>
      <c r="AY39" s="139"/>
      <c r="AZ39" s="139"/>
      <c r="BA39" s="139"/>
      <c r="BB39" s="139"/>
      <c r="BC39" s="147" t="str">
        <f t="shared" si="19"/>
        <v/>
      </c>
      <c r="BD39" s="138"/>
      <c r="BE39" s="139"/>
      <c r="BF39" s="139"/>
      <c r="BG39" s="139"/>
      <c r="BH39" s="139"/>
      <c r="BI39" s="140" t="str">
        <f t="shared" si="20"/>
        <v/>
      </c>
      <c r="BJ39" s="138"/>
      <c r="BK39" s="139"/>
      <c r="BL39" s="139"/>
      <c r="BM39" s="139"/>
      <c r="BN39" s="139"/>
      <c r="BO39" s="147" t="str">
        <f t="shared" si="21"/>
        <v/>
      </c>
    </row>
    <row r="40" spans="1:67">
      <c r="A40" s="134">
        <f>+Liste_services!A39</f>
        <v>0</v>
      </c>
      <c r="B40" s="138"/>
      <c r="C40" s="139"/>
      <c r="D40" s="139"/>
      <c r="E40" s="139"/>
      <c r="F40" s="139"/>
      <c r="G40" s="140" t="str">
        <f t="shared" si="11"/>
        <v/>
      </c>
      <c r="H40" s="138"/>
      <c r="I40" s="139"/>
      <c r="J40" s="139"/>
      <c r="K40" s="139"/>
      <c r="L40" s="139"/>
      <c r="M40" s="140" t="str">
        <f t="shared" si="12"/>
        <v/>
      </c>
      <c r="N40" s="138"/>
      <c r="O40" s="139"/>
      <c r="P40" s="139"/>
      <c r="Q40" s="139"/>
      <c r="R40" s="139"/>
      <c r="S40" s="147" t="str">
        <f t="shared" si="13"/>
        <v/>
      </c>
      <c r="T40" s="138"/>
      <c r="U40" s="139"/>
      <c r="V40" s="139"/>
      <c r="W40" s="139"/>
      <c r="X40" s="139"/>
      <c r="Y40" s="140" t="str">
        <f t="shared" si="14"/>
        <v/>
      </c>
      <c r="Z40" s="138"/>
      <c r="AA40" s="139"/>
      <c r="AB40" s="139"/>
      <c r="AC40" s="139"/>
      <c r="AD40" s="139"/>
      <c r="AE40" s="147" t="str">
        <f t="shared" si="15"/>
        <v/>
      </c>
      <c r="AF40" s="138"/>
      <c r="AG40" s="139"/>
      <c r="AH40" s="139"/>
      <c r="AI40" s="139"/>
      <c r="AJ40" s="139"/>
      <c r="AK40" s="140" t="str">
        <f t="shared" si="16"/>
        <v/>
      </c>
      <c r="AL40" s="138"/>
      <c r="AM40" s="139"/>
      <c r="AN40" s="139"/>
      <c r="AO40" s="139"/>
      <c r="AP40" s="139"/>
      <c r="AQ40" s="147" t="str">
        <f t="shared" si="17"/>
        <v/>
      </c>
      <c r="AR40" s="138"/>
      <c r="AS40" s="139"/>
      <c r="AT40" s="139"/>
      <c r="AU40" s="139"/>
      <c r="AV40" s="139"/>
      <c r="AW40" s="140" t="str">
        <f t="shared" si="18"/>
        <v/>
      </c>
      <c r="AX40" s="138"/>
      <c r="AY40" s="139"/>
      <c r="AZ40" s="139"/>
      <c r="BA40" s="139"/>
      <c r="BB40" s="139"/>
      <c r="BC40" s="147" t="str">
        <f t="shared" si="19"/>
        <v/>
      </c>
      <c r="BD40" s="138"/>
      <c r="BE40" s="139"/>
      <c r="BF40" s="139"/>
      <c r="BG40" s="139"/>
      <c r="BH40" s="139"/>
      <c r="BI40" s="140" t="str">
        <f t="shared" si="20"/>
        <v/>
      </c>
      <c r="BJ40" s="138"/>
      <c r="BK40" s="139"/>
      <c r="BL40" s="139"/>
      <c r="BM40" s="139"/>
      <c r="BN40" s="139"/>
      <c r="BO40" s="147" t="str">
        <f t="shared" si="21"/>
        <v/>
      </c>
    </row>
    <row r="41" spans="1:67">
      <c r="A41" s="134">
        <f>+Liste_services!A40</f>
        <v>0</v>
      </c>
      <c r="B41" s="138"/>
      <c r="C41" s="139"/>
      <c r="D41" s="139"/>
      <c r="E41" s="139"/>
      <c r="F41" s="139"/>
      <c r="G41" s="140" t="str">
        <f t="shared" si="11"/>
        <v/>
      </c>
      <c r="H41" s="138"/>
      <c r="I41" s="139"/>
      <c r="J41" s="139"/>
      <c r="K41" s="139"/>
      <c r="L41" s="139"/>
      <c r="M41" s="140" t="str">
        <f t="shared" si="12"/>
        <v/>
      </c>
      <c r="N41" s="138"/>
      <c r="O41" s="139"/>
      <c r="P41" s="139"/>
      <c r="Q41" s="139"/>
      <c r="R41" s="139"/>
      <c r="S41" s="147" t="str">
        <f t="shared" si="13"/>
        <v/>
      </c>
      <c r="T41" s="138"/>
      <c r="U41" s="139"/>
      <c r="V41" s="139"/>
      <c r="W41" s="139"/>
      <c r="X41" s="139"/>
      <c r="Y41" s="140" t="str">
        <f t="shared" si="14"/>
        <v/>
      </c>
      <c r="Z41" s="138"/>
      <c r="AA41" s="139"/>
      <c r="AB41" s="139"/>
      <c r="AC41" s="139"/>
      <c r="AD41" s="139"/>
      <c r="AE41" s="147" t="str">
        <f t="shared" si="15"/>
        <v/>
      </c>
      <c r="AF41" s="138"/>
      <c r="AG41" s="139"/>
      <c r="AH41" s="139"/>
      <c r="AI41" s="139"/>
      <c r="AJ41" s="139"/>
      <c r="AK41" s="140" t="str">
        <f t="shared" si="16"/>
        <v/>
      </c>
      <c r="AL41" s="138"/>
      <c r="AM41" s="139"/>
      <c r="AN41" s="139"/>
      <c r="AO41" s="139"/>
      <c r="AP41" s="139"/>
      <c r="AQ41" s="147" t="str">
        <f t="shared" si="17"/>
        <v/>
      </c>
      <c r="AR41" s="138"/>
      <c r="AS41" s="139"/>
      <c r="AT41" s="139"/>
      <c r="AU41" s="139"/>
      <c r="AV41" s="139"/>
      <c r="AW41" s="140" t="str">
        <f t="shared" si="18"/>
        <v/>
      </c>
      <c r="AX41" s="138"/>
      <c r="AY41" s="139"/>
      <c r="AZ41" s="139"/>
      <c r="BA41" s="139"/>
      <c r="BB41" s="139"/>
      <c r="BC41" s="147" t="str">
        <f t="shared" si="19"/>
        <v/>
      </c>
      <c r="BD41" s="138"/>
      <c r="BE41" s="139"/>
      <c r="BF41" s="139"/>
      <c r="BG41" s="139"/>
      <c r="BH41" s="139"/>
      <c r="BI41" s="140" t="str">
        <f t="shared" si="20"/>
        <v/>
      </c>
      <c r="BJ41" s="138"/>
      <c r="BK41" s="139"/>
      <c r="BL41" s="139"/>
      <c r="BM41" s="139"/>
      <c r="BN41" s="139"/>
      <c r="BO41" s="147" t="str">
        <f t="shared" si="21"/>
        <v/>
      </c>
    </row>
    <row r="42" spans="1:67">
      <c r="A42" s="134">
        <f>+Liste_services!A41</f>
        <v>0</v>
      </c>
      <c r="B42" s="138"/>
      <c r="C42" s="139"/>
      <c r="D42" s="139"/>
      <c r="E42" s="139"/>
      <c r="F42" s="139"/>
      <c r="G42" s="140" t="str">
        <f t="shared" si="11"/>
        <v/>
      </c>
      <c r="H42" s="138"/>
      <c r="I42" s="139"/>
      <c r="J42" s="139"/>
      <c r="K42" s="139"/>
      <c r="L42" s="139"/>
      <c r="M42" s="140" t="str">
        <f t="shared" si="12"/>
        <v/>
      </c>
      <c r="N42" s="138"/>
      <c r="O42" s="139"/>
      <c r="P42" s="139"/>
      <c r="Q42" s="139"/>
      <c r="R42" s="139"/>
      <c r="S42" s="147" t="str">
        <f t="shared" si="13"/>
        <v/>
      </c>
      <c r="T42" s="138"/>
      <c r="U42" s="139"/>
      <c r="V42" s="139"/>
      <c r="W42" s="139"/>
      <c r="X42" s="139"/>
      <c r="Y42" s="140" t="str">
        <f t="shared" si="14"/>
        <v/>
      </c>
      <c r="Z42" s="138"/>
      <c r="AA42" s="139"/>
      <c r="AB42" s="139"/>
      <c r="AC42" s="139"/>
      <c r="AD42" s="139"/>
      <c r="AE42" s="147" t="str">
        <f t="shared" si="15"/>
        <v/>
      </c>
      <c r="AF42" s="138"/>
      <c r="AG42" s="139"/>
      <c r="AH42" s="139"/>
      <c r="AI42" s="139"/>
      <c r="AJ42" s="139"/>
      <c r="AK42" s="140" t="str">
        <f t="shared" si="16"/>
        <v/>
      </c>
      <c r="AL42" s="138"/>
      <c r="AM42" s="139"/>
      <c r="AN42" s="139"/>
      <c r="AO42" s="139"/>
      <c r="AP42" s="139"/>
      <c r="AQ42" s="147" t="str">
        <f t="shared" si="17"/>
        <v/>
      </c>
      <c r="AR42" s="138"/>
      <c r="AS42" s="139"/>
      <c r="AT42" s="139"/>
      <c r="AU42" s="139"/>
      <c r="AV42" s="139"/>
      <c r="AW42" s="140" t="str">
        <f t="shared" si="18"/>
        <v/>
      </c>
      <c r="AX42" s="138"/>
      <c r="AY42" s="139"/>
      <c r="AZ42" s="139"/>
      <c r="BA42" s="139"/>
      <c r="BB42" s="139"/>
      <c r="BC42" s="147" t="str">
        <f t="shared" si="19"/>
        <v/>
      </c>
      <c r="BD42" s="138"/>
      <c r="BE42" s="139"/>
      <c r="BF42" s="139"/>
      <c r="BG42" s="139"/>
      <c r="BH42" s="139"/>
      <c r="BI42" s="140" t="str">
        <f t="shared" si="20"/>
        <v/>
      </c>
      <c r="BJ42" s="138"/>
      <c r="BK42" s="139"/>
      <c r="BL42" s="139"/>
      <c r="BM42" s="139"/>
      <c r="BN42" s="139"/>
      <c r="BO42" s="147" t="str">
        <f t="shared" si="21"/>
        <v/>
      </c>
    </row>
    <row r="43" spans="1:67">
      <c r="A43" s="134">
        <f>+Liste_services!A42</f>
        <v>0</v>
      </c>
      <c r="B43" s="138"/>
      <c r="C43" s="139"/>
      <c r="D43" s="139"/>
      <c r="E43" s="139"/>
      <c r="F43" s="139"/>
      <c r="G43" s="140" t="str">
        <f t="shared" si="11"/>
        <v/>
      </c>
      <c r="H43" s="138"/>
      <c r="I43" s="139"/>
      <c r="J43" s="139"/>
      <c r="K43" s="139"/>
      <c r="L43" s="139"/>
      <c r="M43" s="140" t="str">
        <f t="shared" si="12"/>
        <v/>
      </c>
      <c r="N43" s="138"/>
      <c r="O43" s="139"/>
      <c r="P43" s="139"/>
      <c r="Q43" s="139"/>
      <c r="R43" s="139"/>
      <c r="S43" s="147" t="str">
        <f t="shared" si="13"/>
        <v/>
      </c>
      <c r="T43" s="138"/>
      <c r="U43" s="139"/>
      <c r="V43" s="139"/>
      <c r="W43" s="139"/>
      <c r="X43" s="139"/>
      <c r="Y43" s="140" t="str">
        <f t="shared" si="14"/>
        <v/>
      </c>
      <c r="Z43" s="138"/>
      <c r="AA43" s="139"/>
      <c r="AB43" s="139"/>
      <c r="AC43" s="139"/>
      <c r="AD43" s="139"/>
      <c r="AE43" s="147" t="str">
        <f t="shared" si="15"/>
        <v/>
      </c>
      <c r="AF43" s="138"/>
      <c r="AG43" s="139"/>
      <c r="AH43" s="139"/>
      <c r="AI43" s="139"/>
      <c r="AJ43" s="139"/>
      <c r="AK43" s="140" t="str">
        <f t="shared" si="16"/>
        <v/>
      </c>
      <c r="AL43" s="138"/>
      <c r="AM43" s="139"/>
      <c r="AN43" s="139"/>
      <c r="AO43" s="139"/>
      <c r="AP43" s="139"/>
      <c r="AQ43" s="147" t="str">
        <f t="shared" si="17"/>
        <v/>
      </c>
      <c r="AR43" s="138"/>
      <c r="AS43" s="139"/>
      <c r="AT43" s="139"/>
      <c r="AU43" s="139"/>
      <c r="AV43" s="139"/>
      <c r="AW43" s="140" t="str">
        <f t="shared" si="18"/>
        <v/>
      </c>
      <c r="AX43" s="138"/>
      <c r="AY43" s="139"/>
      <c r="AZ43" s="139"/>
      <c r="BA43" s="139"/>
      <c r="BB43" s="139"/>
      <c r="BC43" s="147" t="str">
        <f t="shared" si="19"/>
        <v/>
      </c>
      <c r="BD43" s="138"/>
      <c r="BE43" s="139"/>
      <c r="BF43" s="139"/>
      <c r="BG43" s="139"/>
      <c r="BH43" s="139"/>
      <c r="BI43" s="140" t="str">
        <f t="shared" si="20"/>
        <v/>
      </c>
      <c r="BJ43" s="138"/>
      <c r="BK43" s="139"/>
      <c r="BL43" s="139"/>
      <c r="BM43" s="139"/>
      <c r="BN43" s="139"/>
      <c r="BO43" s="147" t="str">
        <f t="shared" si="21"/>
        <v/>
      </c>
    </row>
    <row r="44" spans="1:67">
      <c r="A44" s="134">
        <f>+Liste_services!A43</f>
        <v>0</v>
      </c>
      <c r="B44" s="138"/>
      <c r="C44" s="139"/>
      <c r="D44" s="139"/>
      <c r="E44" s="139"/>
      <c r="F44" s="139"/>
      <c r="G44" s="140" t="str">
        <f t="shared" si="11"/>
        <v/>
      </c>
      <c r="H44" s="138"/>
      <c r="I44" s="139"/>
      <c r="J44" s="139"/>
      <c r="K44" s="139"/>
      <c r="L44" s="139"/>
      <c r="M44" s="140" t="str">
        <f t="shared" si="12"/>
        <v/>
      </c>
      <c r="N44" s="138"/>
      <c r="O44" s="139"/>
      <c r="P44" s="139"/>
      <c r="Q44" s="139"/>
      <c r="R44" s="139"/>
      <c r="S44" s="147" t="str">
        <f t="shared" si="13"/>
        <v/>
      </c>
      <c r="T44" s="138"/>
      <c r="U44" s="139"/>
      <c r="V44" s="139"/>
      <c r="W44" s="139"/>
      <c r="X44" s="139"/>
      <c r="Y44" s="140" t="str">
        <f t="shared" si="14"/>
        <v/>
      </c>
      <c r="Z44" s="138"/>
      <c r="AA44" s="139"/>
      <c r="AB44" s="139"/>
      <c r="AC44" s="139"/>
      <c r="AD44" s="139"/>
      <c r="AE44" s="147" t="str">
        <f t="shared" si="15"/>
        <v/>
      </c>
      <c r="AF44" s="138"/>
      <c r="AG44" s="139"/>
      <c r="AH44" s="139"/>
      <c r="AI44" s="139"/>
      <c r="AJ44" s="139"/>
      <c r="AK44" s="140" t="str">
        <f t="shared" si="16"/>
        <v/>
      </c>
      <c r="AL44" s="138"/>
      <c r="AM44" s="139"/>
      <c r="AN44" s="139"/>
      <c r="AO44" s="139"/>
      <c r="AP44" s="139"/>
      <c r="AQ44" s="147" t="str">
        <f t="shared" si="17"/>
        <v/>
      </c>
      <c r="AR44" s="138"/>
      <c r="AS44" s="139"/>
      <c r="AT44" s="139"/>
      <c r="AU44" s="139"/>
      <c r="AV44" s="139"/>
      <c r="AW44" s="140" t="str">
        <f t="shared" si="18"/>
        <v/>
      </c>
      <c r="AX44" s="138"/>
      <c r="AY44" s="139"/>
      <c r="AZ44" s="139"/>
      <c r="BA44" s="139"/>
      <c r="BB44" s="139"/>
      <c r="BC44" s="147" t="str">
        <f t="shared" si="19"/>
        <v/>
      </c>
      <c r="BD44" s="138"/>
      <c r="BE44" s="139"/>
      <c r="BF44" s="139"/>
      <c r="BG44" s="139"/>
      <c r="BH44" s="139"/>
      <c r="BI44" s="140" t="str">
        <f t="shared" si="20"/>
        <v/>
      </c>
      <c r="BJ44" s="138"/>
      <c r="BK44" s="139"/>
      <c r="BL44" s="139"/>
      <c r="BM44" s="139"/>
      <c r="BN44" s="139"/>
      <c r="BO44" s="147" t="str">
        <f t="shared" si="21"/>
        <v/>
      </c>
    </row>
    <row r="45" spans="1:67">
      <c r="A45" s="134">
        <f>+Liste_services!A44</f>
        <v>0</v>
      </c>
      <c r="B45" s="138"/>
      <c r="C45" s="139"/>
      <c r="D45" s="139"/>
      <c r="E45" s="139"/>
      <c r="F45" s="139"/>
      <c r="G45" s="140" t="str">
        <f t="shared" si="11"/>
        <v/>
      </c>
      <c r="H45" s="138"/>
      <c r="I45" s="139"/>
      <c r="J45" s="139"/>
      <c r="K45" s="139"/>
      <c r="L45" s="139"/>
      <c r="M45" s="140" t="str">
        <f t="shared" si="12"/>
        <v/>
      </c>
      <c r="N45" s="138"/>
      <c r="O45" s="139"/>
      <c r="P45" s="139"/>
      <c r="Q45" s="139"/>
      <c r="R45" s="139"/>
      <c r="S45" s="147" t="str">
        <f t="shared" si="13"/>
        <v/>
      </c>
      <c r="T45" s="138"/>
      <c r="U45" s="139"/>
      <c r="V45" s="139"/>
      <c r="W45" s="139"/>
      <c r="X45" s="139"/>
      <c r="Y45" s="140" t="str">
        <f t="shared" si="14"/>
        <v/>
      </c>
      <c r="Z45" s="138"/>
      <c r="AA45" s="139"/>
      <c r="AB45" s="151"/>
      <c r="AC45" s="139"/>
      <c r="AD45" s="151"/>
      <c r="AE45" s="147" t="str">
        <f t="shared" si="15"/>
        <v/>
      </c>
      <c r="AF45" s="138"/>
      <c r="AG45" s="139"/>
      <c r="AH45" s="139"/>
      <c r="AI45" s="139"/>
      <c r="AJ45" s="139"/>
      <c r="AK45" s="140" t="str">
        <f t="shared" si="16"/>
        <v/>
      </c>
      <c r="AL45" s="138"/>
      <c r="AM45" s="139"/>
      <c r="AN45" s="139"/>
      <c r="AO45" s="139"/>
      <c r="AP45" s="139"/>
      <c r="AQ45" s="147" t="str">
        <f t="shared" si="17"/>
        <v/>
      </c>
      <c r="AR45" s="138"/>
      <c r="AS45" s="139"/>
      <c r="AT45" s="139"/>
      <c r="AU45" s="139"/>
      <c r="AV45" s="139"/>
      <c r="AW45" s="140" t="str">
        <f t="shared" si="18"/>
        <v/>
      </c>
      <c r="AX45" s="138"/>
      <c r="AY45" s="139"/>
      <c r="AZ45" s="139"/>
      <c r="BA45" s="139"/>
      <c r="BB45" s="139"/>
      <c r="BC45" s="147" t="str">
        <f t="shared" si="19"/>
        <v/>
      </c>
      <c r="BD45" s="138"/>
      <c r="BE45" s="139"/>
      <c r="BF45" s="139"/>
      <c r="BG45" s="139"/>
      <c r="BH45" s="139"/>
      <c r="BI45" s="140" t="str">
        <f t="shared" si="20"/>
        <v/>
      </c>
      <c r="BJ45" s="138"/>
      <c r="BK45" s="139"/>
      <c r="BL45" s="139"/>
      <c r="BM45" s="139"/>
      <c r="BN45" s="139"/>
      <c r="BO45" s="147" t="str">
        <f t="shared" si="21"/>
        <v/>
      </c>
    </row>
    <row r="46" spans="1:67">
      <c r="A46" s="134">
        <f>+Liste_services!A45</f>
        <v>0</v>
      </c>
      <c r="B46" s="138"/>
      <c r="C46" s="139"/>
      <c r="D46" s="139"/>
      <c r="E46" s="139"/>
      <c r="F46" s="139"/>
      <c r="G46" s="140" t="str">
        <f t="shared" si="11"/>
        <v/>
      </c>
      <c r="H46" s="138"/>
      <c r="I46" s="139"/>
      <c r="J46" s="139"/>
      <c r="K46" s="139"/>
      <c r="L46" s="139"/>
      <c r="M46" s="140" t="str">
        <f t="shared" si="12"/>
        <v/>
      </c>
      <c r="N46" s="138"/>
      <c r="O46" s="139"/>
      <c r="P46" s="139"/>
      <c r="Q46" s="139"/>
      <c r="R46" s="139"/>
      <c r="S46" s="147" t="str">
        <f t="shared" si="13"/>
        <v/>
      </c>
      <c r="T46" s="138"/>
      <c r="U46" s="139"/>
      <c r="V46" s="139"/>
      <c r="W46" s="139"/>
      <c r="X46" s="139"/>
      <c r="Y46" s="140" t="str">
        <f t="shared" si="14"/>
        <v/>
      </c>
      <c r="Z46" s="138"/>
      <c r="AA46" s="139"/>
      <c r="AB46" s="139"/>
      <c r="AC46" s="139"/>
      <c r="AD46" s="139"/>
      <c r="AE46" s="147" t="str">
        <f t="shared" si="15"/>
        <v/>
      </c>
      <c r="AF46" s="138"/>
      <c r="AG46" s="139"/>
      <c r="AH46" s="139"/>
      <c r="AI46" s="139"/>
      <c r="AJ46" s="139"/>
      <c r="AK46" s="140" t="str">
        <f t="shared" si="16"/>
        <v/>
      </c>
      <c r="AL46" s="138"/>
      <c r="AM46" s="139"/>
      <c r="AN46" s="139"/>
      <c r="AO46" s="139"/>
      <c r="AP46" s="139"/>
      <c r="AQ46" s="147" t="str">
        <f t="shared" si="17"/>
        <v/>
      </c>
      <c r="AR46" s="138"/>
      <c r="AS46" s="139"/>
      <c r="AT46" s="139"/>
      <c r="AU46" s="139"/>
      <c r="AV46" s="139"/>
      <c r="AW46" s="140" t="str">
        <f t="shared" si="18"/>
        <v/>
      </c>
      <c r="AX46" s="138"/>
      <c r="AY46" s="139"/>
      <c r="AZ46" s="139"/>
      <c r="BA46" s="139"/>
      <c r="BB46" s="139"/>
      <c r="BC46" s="147" t="str">
        <f t="shared" si="19"/>
        <v/>
      </c>
      <c r="BD46" s="138"/>
      <c r="BE46" s="139"/>
      <c r="BF46" s="139"/>
      <c r="BG46" s="139"/>
      <c r="BH46" s="139"/>
      <c r="BI46" s="140" t="str">
        <f t="shared" si="20"/>
        <v/>
      </c>
      <c r="BJ46" s="138"/>
      <c r="BK46" s="139"/>
      <c r="BL46" s="139"/>
      <c r="BM46" s="139"/>
      <c r="BN46" s="139"/>
      <c r="BO46" s="147" t="str">
        <f t="shared" si="21"/>
        <v/>
      </c>
    </row>
    <row r="47" spans="1:67">
      <c r="A47" s="134">
        <f>+Liste_services!A46</f>
        <v>0</v>
      </c>
      <c r="B47" s="141"/>
      <c r="C47" s="142"/>
      <c r="D47" s="142"/>
      <c r="E47" s="142"/>
      <c r="F47" s="142"/>
      <c r="G47" s="143" t="str">
        <f t="shared" si="11"/>
        <v/>
      </c>
      <c r="H47" s="141"/>
      <c r="I47" s="142"/>
      <c r="J47" s="142"/>
      <c r="K47" s="142"/>
      <c r="L47" s="142"/>
      <c r="M47" s="143" t="str">
        <f t="shared" si="12"/>
        <v/>
      </c>
      <c r="N47" s="141"/>
      <c r="O47" s="142"/>
      <c r="P47" s="142"/>
      <c r="Q47" s="142"/>
      <c r="R47" s="142"/>
      <c r="S47" s="148" t="str">
        <f t="shared" si="13"/>
        <v/>
      </c>
      <c r="T47" s="141"/>
      <c r="U47" s="142"/>
      <c r="V47" s="142"/>
      <c r="W47" s="142"/>
      <c r="X47" s="142"/>
      <c r="Y47" s="143" t="str">
        <f t="shared" si="14"/>
        <v/>
      </c>
      <c r="Z47" s="141"/>
      <c r="AA47" s="142"/>
      <c r="AB47" s="142"/>
      <c r="AC47" s="142"/>
      <c r="AD47" s="142"/>
      <c r="AE47" s="148" t="str">
        <f t="shared" si="15"/>
        <v/>
      </c>
      <c r="AF47" s="141"/>
      <c r="AG47" s="142"/>
      <c r="AH47" s="142"/>
      <c r="AI47" s="142"/>
      <c r="AJ47" s="142"/>
      <c r="AK47" s="143" t="str">
        <f t="shared" si="16"/>
        <v/>
      </c>
      <c r="AL47" s="141"/>
      <c r="AM47" s="142"/>
      <c r="AN47" s="142"/>
      <c r="AO47" s="142"/>
      <c r="AP47" s="142"/>
      <c r="AQ47" s="148" t="str">
        <f t="shared" si="17"/>
        <v/>
      </c>
      <c r="AR47" s="141"/>
      <c r="AS47" s="142"/>
      <c r="AT47" s="142"/>
      <c r="AU47" s="142"/>
      <c r="AV47" s="142"/>
      <c r="AW47" s="143" t="str">
        <f t="shared" si="18"/>
        <v/>
      </c>
      <c r="AX47" s="141"/>
      <c r="AY47" s="142"/>
      <c r="AZ47" s="142"/>
      <c r="BA47" s="142"/>
      <c r="BB47" s="142"/>
      <c r="BC47" s="148" t="str">
        <f t="shared" si="19"/>
        <v/>
      </c>
      <c r="BD47" s="141"/>
      <c r="BE47" s="142"/>
      <c r="BF47" s="142"/>
      <c r="BG47" s="142"/>
      <c r="BH47" s="142"/>
      <c r="BI47" s="143" t="str">
        <f t="shared" si="20"/>
        <v/>
      </c>
      <c r="BJ47" s="141"/>
      <c r="BK47" s="142"/>
      <c r="BL47" s="142"/>
      <c r="BM47" s="142"/>
      <c r="BN47" s="142"/>
      <c r="BO47" s="148" t="str">
        <f t="shared" si="21"/>
        <v/>
      </c>
    </row>
  </sheetData>
  <mergeCells count="11">
    <mergeCell ref="B1:G1"/>
    <mergeCell ref="BD1:BI1"/>
    <mergeCell ref="BJ1:BO1"/>
    <mergeCell ref="AR1:AW1"/>
    <mergeCell ref="AX1:BC1"/>
    <mergeCell ref="H1:M1"/>
    <mergeCell ref="N1:S1"/>
    <mergeCell ref="T1:Y1"/>
    <mergeCell ref="Z1:AE1"/>
    <mergeCell ref="AF1:AK1"/>
    <mergeCell ref="AL1:AQ1"/>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rgb="FF597307"/>
  </sheetPr>
  <dimension ref="A1:AK19"/>
  <sheetViews>
    <sheetView workbookViewId="0">
      <pane xSplit="1" ySplit="2" topLeftCell="B3" activePane="bottomRight" state="frozen"/>
      <selection pane="topRight" activeCell="B1" sqref="B1"/>
      <selection pane="bottomLeft" activeCell="A3" sqref="A3"/>
      <selection pane="bottomRight" activeCell="E10" sqref="E10"/>
    </sheetView>
  </sheetViews>
  <sheetFormatPr baseColWidth="10" defaultRowHeight="12.75"/>
  <cols>
    <col min="1" max="1" width="25" style="134" bestFit="1" customWidth="1"/>
    <col min="2" max="2" width="6" style="82" bestFit="1" customWidth="1"/>
    <col min="3" max="6" width="7" style="82" bestFit="1" customWidth="1"/>
    <col min="7" max="7" width="11.85546875" style="82" customWidth="1"/>
    <col min="8" max="11" width="8" style="82" bestFit="1" customWidth="1"/>
    <col min="12" max="12" width="7" style="82" bestFit="1" customWidth="1"/>
    <col min="13" max="13" width="11.85546875" style="82" customWidth="1"/>
    <col min="14" max="14" width="6" style="82" bestFit="1" customWidth="1"/>
    <col min="15" max="18" width="8" style="82" bestFit="1" customWidth="1"/>
    <col min="19" max="19" width="11.42578125" style="82"/>
    <col min="20" max="24" width="5" style="82" bestFit="1" customWidth="1"/>
    <col min="25" max="25" width="11.42578125" style="82"/>
    <col min="26" max="26" width="6" style="82" bestFit="1" customWidth="1"/>
    <col min="27" max="27" width="5" style="82" bestFit="1" customWidth="1"/>
    <col min="28" max="29" width="6" style="82" bestFit="1" customWidth="1"/>
    <col min="30" max="30" width="5" style="82" bestFit="1" customWidth="1"/>
    <col min="31" max="31" width="11.42578125" style="82"/>
    <col min="32" max="34" width="5" style="82" bestFit="1" customWidth="1"/>
    <col min="35" max="35" width="6" style="82" bestFit="1" customWidth="1"/>
    <col min="36" max="36" width="5" style="82" bestFit="1" customWidth="1"/>
    <col min="37" max="16384" width="11.42578125" style="82"/>
  </cols>
  <sheetData>
    <row r="1" spans="1:37">
      <c r="B1" s="616" t="s">
        <v>6</v>
      </c>
      <c r="C1" s="617"/>
      <c r="D1" s="617"/>
      <c r="E1" s="617"/>
      <c r="F1" s="617"/>
      <c r="G1" s="618"/>
      <c r="H1" s="619" t="s">
        <v>10</v>
      </c>
      <c r="I1" s="620"/>
      <c r="J1" s="620"/>
      <c r="K1" s="620"/>
      <c r="L1" s="620"/>
      <c r="M1" s="621"/>
      <c r="N1" s="625" t="s">
        <v>113</v>
      </c>
      <c r="O1" s="626"/>
      <c r="P1" s="626"/>
      <c r="Q1" s="626"/>
      <c r="R1" s="626"/>
      <c r="S1" s="627"/>
      <c r="T1" s="619" t="s">
        <v>119</v>
      </c>
      <c r="U1" s="620"/>
      <c r="V1" s="620"/>
      <c r="W1" s="620"/>
      <c r="X1" s="620"/>
      <c r="Y1" s="621"/>
      <c r="Z1" s="622" t="s">
        <v>152</v>
      </c>
      <c r="AA1" s="623"/>
      <c r="AB1" s="623"/>
      <c r="AC1" s="623"/>
      <c r="AD1" s="623"/>
      <c r="AE1" s="624"/>
      <c r="AF1" s="619" t="s">
        <v>153</v>
      </c>
      <c r="AG1" s="620"/>
      <c r="AH1" s="620"/>
      <c r="AI1" s="620"/>
      <c r="AJ1" s="620"/>
      <c r="AK1" s="621"/>
    </row>
    <row r="2" spans="1:37">
      <c r="B2" s="271">
        <v>2012</v>
      </c>
      <c r="C2" s="272">
        <f>B2+1</f>
        <v>2013</v>
      </c>
      <c r="D2" s="272">
        <f t="shared" ref="D2:F2" si="0">C2+1</f>
        <v>2014</v>
      </c>
      <c r="E2" s="272">
        <f t="shared" si="0"/>
        <v>2015</v>
      </c>
      <c r="F2" s="272">
        <f t="shared" si="0"/>
        <v>2016</v>
      </c>
      <c r="G2" s="273" t="s">
        <v>144</v>
      </c>
      <c r="H2" s="135">
        <v>2012</v>
      </c>
      <c r="I2" s="136">
        <f>H2+1</f>
        <v>2013</v>
      </c>
      <c r="J2" s="136">
        <f t="shared" ref="J2:L2" si="1">I2+1</f>
        <v>2014</v>
      </c>
      <c r="K2" s="136">
        <f t="shared" si="1"/>
        <v>2015</v>
      </c>
      <c r="L2" s="136">
        <f t="shared" si="1"/>
        <v>2016</v>
      </c>
      <c r="M2" s="137" t="s">
        <v>144</v>
      </c>
      <c r="N2" s="144">
        <f>H2</f>
        <v>2012</v>
      </c>
      <c r="O2" s="145">
        <f t="shared" ref="O2:R2" si="2">I2</f>
        <v>2013</v>
      </c>
      <c r="P2" s="145">
        <f t="shared" si="2"/>
        <v>2014</v>
      </c>
      <c r="Q2" s="145">
        <f t="shared" si="2"/>
        <v>2015</v>
      </c>
      <c r="R2" s="145">
        <f t="shared" si="2"/>
        <v>2016</v>
      </c>
      <c r="S2" s="146" t="s">
        <v>144</v>
      </c>
      <c r="T2" s="149">
        <f>N2</f>
        <v>2012</v>
      </c>
      <c r="U2" s="150">
        <f t="shared" ref="U2:X2" si="3">O2</f>
        <v>2013</v>
      </c>
      <c r="V2" s="150">
        <f t="shared" si="3"/>
        <v>2014</v>
      </c>
      <c r="W2" s="150">
        <f t="shared" si="3"/>
        <v>2015</v>
      </c>
      <c r="X2" s="150">
        <f t="shared" si="3"/>
        <v>2016</v>
      </c>
      <c r="Y2" s="137" t="s">
        <v>144</v>
      </c>
      <c r="Z2" s="144">
        <f>T2</f>
        <v>2012</v>
      </c>
      <c r="AA2" s="145">
        <f t="shared" ref="AA2:AD2" si="4">U2</f>
        <v>2013</v>
      </c>
      <c r="AB2" s="145">
        <f t="shared" si="4"/>
        <v>2014</v>
      </c>
      <c r="AC2" s="145">
        <f t="shared" si="4"/>
        <v>2015</v>
      </c>
      <c r="AD2" s="145">
        <f t="shared" si="4"/>
        <v>2016</v>
      </c>
      <c r="AE2" s="146" t="s">
        <v>144</v>
      </c>
      <c r="AF2" s="149">
        <f>Z2</f>
        <v>2012</v>
      </c>
      <c r="AG2" s="150">
        <f t="shared" ref="AG2:AJ2" si="5">AA2</f>
        <v>2013</v>
      </c>
      <c r="AH2" s="150">
        <f t="shared" si="5"/>
        <v>2014</v>
      </c>
      <c r="AI2" s="150">
        <f t="shared" si="5"/>
        <v>2015</v>
      </c>
      <c r="AJ2" s="150">
        <f t="shared" si="5"/>
        <v>2016</v>
      </c>
      <c r="AK2" s="137" t="s">
        <v>144</v>
      </c>
    </row>
    <row r="3" spans="1:37">
      <c r="A3" s="134" t="str">
        <f>Liste_services!A4</f>
        <v>Beausoleil</v>
      </c>
      <c r="B3" s="138"/>
      <c r="C3" s="139"/>
      <c r="D3" s="139"/>
      <c r="E3" s="139"/>
      <c r="F3" s="139"/>
      <c r="G3" s="140" t="str">
        <f>IFERROR(ROUND(AVERAGE(C3:F3),2),"")</f>
        <v/>
      </c>
      <c r="H3" s="138"/>
      <c r="I3" s="139"/>
      <c r="J3" s="139"/>
      <c r="K3" s="139"/>
      <c r="L3" s="139"/>
      <c r="M3" s="140" t="str">
        <f t="shared" ref="M3:M19" si="6">IFERROR(ROUND(AVERAGE(H3:L3),2),"")</f>
        <v/>
      </c>
      <c r="N3" s="138"/>
      <c r="O3" s="139"/>
      <c r="P3" s="139"/>
      <c r="Q3" s="139"/>
      <c r="R3" s="139"/>
      <c r="S3" s="147" t="str">
        <f>IFERROR(ROUND(AVERAGE(N3:R3),2),"")</f>
        <v/>
      </c>
      <c r="T3" s="138"/>
      <c r="U3" s="139"/>
      <c r="V3" s="139"/>
      <c r="W3" s="139"/>
      <c r="X3" s="139"/>
      <c r="Y3" s="140" t="str">
        <f t="shared" ref="Y3:Y19" si="7">IFERROR(ROUND(AVERAGE(T3:X3),2),"")</f>
        <v/>
      </c>
      <c r="Z3" s="138"/>
      <c r="AA3" s="139"/>
      <c r="AB3" s="139"/>
      <c r="AC3" s="139"/>
      <c r="AD3" s="139"/>
      <c r="AE3" s="147" t="str">
        <f t="shared" ref="AE3:AE19" si="8">IFERROR(ROUND(AVERAGE(Z3:AD3),2),"")</f>
        <v/>
      </c>
      <c r="AF3" s="138"/>
      <c r="AG3" s="139"/>
      <c r="AH3" s="139"/>
      <c r="AI3" s="139"/>
      <c r="AJ3" s="139"/>
      <c r="AK3" s="140" t="str">
        <f t="shared" ref="AK3:AK19" si="9">IFERROR(ROUND(AVERAGE(AF3:AJ3),2),"")</f>
        <v/>
      </c>
    </row>
    <row r="4" spans="1:37">
      <c r="A4" s="134" t="str">
        <f>Liste_services!A12</f>
        <v>Breil</v>
      </c>
      <c r="B4" s="138"/>
      <c r="C4" s="139"/>
      <c r="D4" s="139"/>
      <c r="E4" s="139"/>
      <c r="F4" s="139"/>
      <c r="G4" s="140" t="str">
        <f t="shared" ref="G4:G19" si="10">IFERROR(ROUND(AVERAGE(B4:F4),2),"")</f>
        <v/>
      </c>
      <c r="H4" s="138"/>
      <c r="I4" s="139"/>
      <c r="J4" s="139"/>
      <c r="K4" s="139"/>
      <c r="L4" s="139"/>
      <c r="M4" s="140" t="str">
        <f t="shared" si="6"/>
        <v/>
      </c>
      <c r="N4" s="138"/>
      <c r="O4" s="139"/>
      <c r="P4" s="139"/>
      <c r="Q4" s="139"/>
      <c r="R4" s="139"/>
      <c r="S4" s="147" t="str">
        <f>IFERROR(ROUND(AVERAGE(N4:R4),2),"")</f>
        <v/>
      </c>
      <c r="T4" s="138"/>
      <c r="U4" s="139"/>
      <c r="V4" s="139"/>
      <c r="W4" s="139"/>
      <c r="X4" s="139"/>
      <c r="Y4" s="140" t="str">
        <f t="shared" si="7"/>
        <v/>
      </c>
      <c r="Z4" s="138"/>
      <c r="AA4" s="139"/>
      <c r="AB4" s="139"/>
      <c r="AC4" s="139"/>
      <c r="AD4" s="139"/>
      <c r="AE4" s="147" t="str">
        <f t="shared" si="8"/>
        <v/>
      </c>
      <c r="AF4" s="138"/>
      <c r="AG4" s="139"/>
      <c r="AH4" s="139"/>
      <c r="AI4" s="139"/>
      <c r="AJ4" s="139"/>
      <c r="AK4" s="140" t="str">
        <f t="shared" si="9"/>
        <v/>
      </c>
    </row>
    <row r="5" spans="1:37">
      <c r="A5" s="134" t="str">
        <f>Liste_services!A6</f>
        <v>Castellar</v>
      </c>
      <c r="B5" s="138"/>
      <c r="C5" s="139"/>
      <c r="D5" s="139"/>
      <c r="E5" s="139"/>
      <c r="F5" s="139"/>
      <c r="G5" s="140" t="str">
        <f t="shared" si="10"/>
        <v/>
      </c>
      <c r="H5" s="138"/>
      <c r="I5" s="139">
        <v>13050</v>
      </c>
      <c r="J5" s="139">
        <v>10739</v>
      </c>
      <c r="K5" s="139">
        <v>12371</v>
      </c>
      <c r="L5" s="139"/>
      <c r="M5" s="140">
        <f t="shared" si="6"/>
        <v>12053.33</v>
      </c>
      <c r="N5" s="138"/>
      <c r="O5" s="139"/>
      <c r="P5" s="139"/>
      <c r="Q5" s="139"/>
      <c r="R5" s="139"/>
      <c r="S5" s="147" t="str">
        <f>IFERROR(ROUND(AVERAGE(N5:R5),2),"")</f>
        <v/>
      </c>
      <c r="T5" s="138"/>
      <c r="U5" s="139"/>
      <c r="V5" s="139"/>
      <c r="W5" s="139"/>
      <c r="X5" s="139"/>
      <c r="Y5" s="140" t="str">
        <f t="shared" si="7"/>
        <v/>
      </c>
      <c r="Z5" s="138"/>
      <c r="AA5" s="139"/>
      <c r="AB5" s="139"/>
      <c r="AC5" s="139"/>
      <c r="AD5" s="139"/>
      <c r="AE5" s="147" t="str">
        <f t="shared" si="8"/>
        <v/>
      </c>
      <c r="AF5" s="138"/>
      <c r="AG5" s="139"/>
      <c r="AH5" s="139"/>
      <c r="AI5" s="139"/>
      <c r="AJ5" s="139"/>
      <c r="AK5" s="140" t="str">
        <f t="shared" si="9"/>
        <v/>
      </c>
    </row>
    <row r="6" spans="1:37">
      <c r="A6" s="134" t="str">
        <f>Liste_services!A9</f>
        <v>Castillon</v>
      </c>
      <c r="B6" s="138"/>
      <c r="C6" s="139"/>
      <c r="D6" s="139"/>
      <c r="E6" s="139"/>
      <c r="F6" s="139"/>
      <c r="G6" s="140" t="str">
        <f t="shared" si="10"/>
        <v/>
      </c>
      <c r="H6" s="138"/>
      <c r="I6" s="139"/>
      <c r="J6" s="139"/>
      <c r="K6" s="139"/>
      <c r="L6" s="139"/>
      <c r="M6" s="140" t="str">
        <f t="shared" si="6"/>
        <v/>
      </c>
      <c r="N6" s="138"/>
      <c r="O6" s="139"/>
      <c r="P6" s="139"/>
      <c r="Q6" s="139"/>
      <c r="R6" s="139"/>
      <c r="S6" s="279" t="s">
        <v>161</v>
      </c>
      <c r="T6" s="138"/>
      <c r="U6" s="139"/>
      <c r="V6" s="139"/>
      <c r="W6" s="139"/>
      <c r="X6" s="139"/>
      <c r="Y6" s="140" t="str">
        <f t="shared" si="7"/>
        <v/>
      </c>
      <c r="Z6" s="138"/>
      <c r="AA6" s="139"/>
      <c r="AB6" s="139"/>
      <c r="AC6" s="139"/>
      <c r="AD6" s="139"/>
      <c r="AE6" s="147" t="str">
        <f t="shared" si="8"/>
        <v/>
      </c>
      <c r="AF6" s="138"/>
      <c r="AG6" s="139"/>
      <c r="AH6" s="139"/>
      <c r="AI6" s="139"/>
      <c r="AJ6" s="139"/>
      <c r="AK6" s="140" t="str">
        <f t="shared" si="9"/>
        <v/>
      </c>
    </row>
    <row r="7" spans="1:37">
      <c r="A7" s="134" t="str">
        <f>Liste_services!A15</f>
        <v>Fontan</v>
      </c>
      <c r="B7" s="138"/>
      <c r="C7" s="139"/>
      <c r="D7" s="139"/>
      <c r="E7" s="139"/>
      <c r="F7" s="139"/>
      <c r="G7" s="140" t="str">
        <f t="shared" si="10"/>
        <v/>
      </c>
      <c r="H7" s="138"/>
      <c r="I7" s="139"/>
      <c r="J7" s="139"/>
      <c r="K7" s="139"/>
      <c r="L7" s="139"/>
      <c r="M7" s="140" t="str">
        <f t="shared" si="6"/>
        <v/>
      </c>
      <c r="N7" s="138"/>
      <c r="O7" s="139"/>
      <c r="P7" s="158"/>
      <c r="Q7" s="158"/>
      <c r="R7" s="158"/>
      <c r="S7" s="147" t="str">
        <f t="shared" ref="S7:S19" si="11">IFERROR(ROUND(AVERAGE(N7:R7),2),"")</f>
        <v/>
      </c>
      <c r="T7" s="138"/>
      <c r="U7" s="139"/>
      <c r="V7" s="139"/>
      <c r="W7" s="139"/>
      <c r="X7" s="139"/>
      <c r="Y7" s="140" t="str">
        <f t="shared" si="7"/>
        <v/>
      </c>
      <c r="Z7" s="138"/>
      <c r="AA7" s="139"/>
      <c r="AB7" s="139"/>
      <c r="AC7" s="139"/>
      <c r="AD7" s="139"/>
      <c r="AE7" s="147" t="str">
        <f t="shared" si="8"/>
        <v/>
      </c>
      <c r="AF7" s="138"/>
      <c r="AG7" s="139"/>
      <c r="AH7" s="139"/>
      <c r="AI7" s="139"/>
      <c r="AJ7" s="139"/>
      <c r="AK7" s="140" t="str">
        <f t="shared" si="9"/>
        <v/>
      </c>
    </row>
    <row r="8" spans="1:37">
      <c r="A8" s="134" t="str">
        <f>Liste_services!A5</f>
        <v>Gorbio</v>
      </c>
      <c r="B8" s="138"/>
      <c r="C8" s="139"/>
      <c r="D8" s="139"/>
      <c r="E8" s="139"/>
      <c r="F8" s="139"/>
      <c r="G8" s="140" t="str">
        <f t="shared" si="10"/>
        <v/>
      </c>
      <c r="H8" s="138"/>
      <c r="I8" s="139"/>
      <c r="J8" s="139"/>
      <c r="K8" s="139"/>
      <c r="L8" s="139"/>
      <c r="M8" s="140" t="str">
        <f t="shared" si="6"/>
        <v/>
      </c>
      <c r="N8" s="138"/>
      <c r="O8" s="139"/>
      <c r="P8" s="139"/>
      <c r="Q8" s="139"/>
      <c r="R8" s="139"/>
      <c r="S8" s="147" t="str">
        <f t="shared" si="11"/>
        <v/>
      </c>
      <c r="T8" s="138"/>
      <c r="U8" s="139"/>
      <c r="V8" s="139"/>
      <c r="W8" s="139"/>
      <c r="X8" s="139"/>
      <c r="Y8" s="140" t="str">
        <f t="shared" si="7"/>
        <v/>
      </c>
      <c r="Z8" s="138"/>
      <c r="AA8" s="139"/>
      <c r="AB8" s="139"/>
      <c r="AC8" s="139"/>
      <c r="AD8" s="139"/>
      <c r="AE8" s="147" t="str">
        <f t="shared" si="8"/>
        <v/>
      </c>
      <c r="AF8" s="138"/>
      <c r="AG8" s="139"/>
      <c r="AH8" s="139"/>
      <c r="AI8" s="139"/>
      <c r="AJ8" s="139"/>
      <c r="AK8" s="140" t="str">
        <f t="shared" si="9"/>
        <v/>
      </c>
    </row>
    <row r="9" spans="1:37">
      <c r="A9" s="134" t="str">
        <f>Liste_services!A14</f>
        <v>La Brigue</v>
      </c>
      <c r="B9" s="138"/>
      <c r="C9" s="139"/>
      <c r="D9" s="139"/>
      <c r="E9" s="139"/>
      <c r="F9" s="139"/>
      <c r="G9" s="140" t="str">
        <f t="shared" si="10"/>
        <v/>
      </c>
      <c r="H9" s="138"/>
      <c r="I9" s="139"/>
      <c r="J9" s="139"/>
      <c r="K9" s="139"/>
      <c r="L9" s="139"/>
      <c r="M9" s="140" t="str">
        <f t="shared" si="6"/>
        <v/>
      </c>
      <c r="N9" s="138"/>
      <c r="O9" s="139"/>
      <c r="P9" s="158"/>
      <c r="Q9" s="158"/>
      <c r="R9" s="139"/>
      <c r="S9" s="147" t="str">
        <f t="shared" si="11"/>
        <v/>
      </c>
      <c r="T9" s="138"/>
      <c r="U9" s="139"/>
      <c r="V9" s="139"/>
      <c r="W9" s="139"/>
      <c r="X9" s="139"/>
      <c r="Y9" s="140" t="str">
        <f t="shared" si="7"/>
        <v/>
      </c>
      <c r="Z9" s="138"/>
      <c r="AA9" s="139"/>
      <c r="AB9" s="139"/>
      <c r="AC9" s="139"/>
      <c r="AD9" s="139"/>
      <c r="AE9" s="147" t="str">
        <f t="shared" si="8"/>
        <v/>
      </c>
      <c r="AF9" s="138"/>
      <c r="AG9" s="139"/>
      <c r="AH9" s="139"/>
      <c r="AI9" s="139"/>
      <c r="AJ9" s="139"/>
      <c r="AK9" s="140" t="str">
        <f t="shared" si="9"/>
        <v/>
      </c>
    </row>
    <row r="10" spans="1:37">
      <c r="A10" s="134" t="str">
        <f>Liste_services!A8</f>
        <v xml:space="preserve">La Turbie </v>
      </c>
      <c r="B10" s="138">
        <v>1498</v>
      </c>
      <c r="C10" s="139">
        <v>1507</v>
      </c>
      <c r="D10" s="139">
        <v>1508</v>
      </c>
      <c r="E10" s="139">
        <v>1521</v>
      </c>
      <c r="F10" s="139"/>
      <c r="G10" s="140">
        <f t="shared" si="10"/>
        <v>1508.5</v>
      </c>
      <c r="H10" s="139">
        <v>336425</v>
      </c>
      <c r="I10" s="139">
        <v>286933</v>
      </c>
      <c r="J10" s="139">
        <v>315972</v>
      </c>
      <c r="K10" s="139">
        <v>265288</v>
      </c>
      <c r="L10" s="139"/>
      <c r="M10" s="140">
        <f t="shared" si="6"/>
        <v>301154.5</v>
      </c>
      <c r="N10" s="138"/>
      <c r="O10" s="139"/>
      <c r="P10" s="139"/>
      <c r="Q10" s="139"/>
      <c r="R10" s="139"/>
      <c r="S10" s="147" t="str">
        <f t="shared" si="11"/>
        <v/>
      </c>
      <c r="T10" s="138"/>
      <c r="U10" s="139"/>
      <c r="V10" s="139"/>
      <c r="W10" s="139"/>
      <c r="X10" s="139"/>
      <c r="Y10" s="140" t="str">
        <f t="shared" si="7"/>
        <v/>
      </c>
      <c r="Z10" s="138">
        <v>13</v>
      </c>
      <c r="AA10" s="139">
        <v>14</v>
      </c>
      <c r="AB10" s="139">
        <v>12</v>
      </c>
      <c r="AC10" s="139">
        <v>14</v>
      </c>
      <c r="AD10" s="139"/>
      <c r="AE10" s="147">
        <f t="shared" si="8"/>
        <v>13.25</v>
      </c>
      <c r="AF10" s="138">
        <v>2400</v>
      </c>
      <c r="AG10" s="139">
        <v>1825</v>
      </c>
      <c r="AH10" s="139">
        <v>2855</v>
      </c>
      <c r="AI10" s="139">
        <v>975</v>
      </c>
      <c r="AJ10" s="139"/>
      <c r="AK10" s="140">
        <f t="shared" si="9"/>
        <v>2013.75</v>
      </c>
    </row>
    <row r="11" spans="1:37">
      <c r="A11" s="134" t="str">
        <f>Liste_services!A2</f>
        <v>Menton</v>
      </c>
      <c r="B11" s="138"/>
      <c r="C11" s="139"/>
      <c r="D11" s="139"/>
      <c r="E11" s="139"/>
      <c r="F11" s="139"/>
      <c r="G11" s="140" t="str">
        <f t="shared" si="10"/>
        <v/>
      </c>
      <c r="H11" s="138"/>
      <c r="I11" s="139"/>
      <c r="J11" s="139"/>
      <c r="K11" s="139"/>
      <c r="L11" s="139"/>
      <c r="M11" s="140" t="str">
        <f t="shared" si="6"/>
        <v/>
      </c>
      <c r="N11" s="138"/>
      <c r="O11" s="139"/>
      <c r="P11" s="139"/>
      <c r="Q11" s="139"/>
      <c r="R11" s="139"/>
      <c r="S11" s="147" t="str">
        <f t="shared" si="11"/>
        <v/>
      </c>
      <c r="T11" s="138"/>
      <c r="U11" s="139"/>
      <c r="V11" s="139"/>
      <c r="W11" s="139"/>
      <c r="X11" s="139"/>
      <c r="Y11" s="140" t="str">
        <f t="shared" si="7"/>
        <v/>
      </c>
      <c r="Z11" s="138"/>
      <c r="AA11" s="139"/>
      <c r="AB11" s="139"/>
      <c r="AC11" s="139"/>
      <c r="AD11" s="139"/>
      <c r="AE11" s="147" t="str">
        <f t="shared" si="8"/>
        <v/>
      </c>
      <c r="AF11" s="138"/>
      <c r="AG11" s="139"/>
      <c r="AH11" s="139"/>
      <c r="AI11" s="139"/>
      <c r="AJ11" s="139"/>
      <c r="AK11" s="140" t="str">
        <f t="shared" si="9"/>
        <v/>
      </c>
    </row>
    <row r="12" spans="1:37">
      <c r="A12" s="134" t="str">
        <f>Liste_services!A11</f>
        <v>Moulinet</v>
      </c>
      <c r="B12" s="138"/>
      <c r="C12" s="139"/>
      <c r="D12" s="139"/>
      <c r="E12" s="139"/>
      <c r="F12" s="139"/>
      <c r="G12" s="140" t="str">
        <f t="shared" si="10"/>
        <v/>
      </c>
      <c r="H12" s="138"/>
      <c r="I12" s="139"/>
      <c r="J12" s="139"/>
      <c r="K12" s="139"/>
      <c r="L12" s="139"/>
      <c r="M12" s="140" t="str">
        <f t="shared" si="6"/>
        <v/>
      </c>
      <c r="N12" s="138"/>
      <c r="O12" s="139"/>
      <c r="P12" s="158"/>
      <c r="Q12" s="158"/>
      <c r="R12" s="158"/>
      <c r="S12" s="147" t="str">
        <f t="shared" si="11"/>
        <v/>
      </c>
      <c r="T12" s="138"/>
      <c r="U12" s="139"/>
      <c r="V12" s="139"/>
      <c r="W12" s="139"/>
      <c r="X12" s="139"/>
      <c r="Y12" s="140" t="str">
        <f t="shared" si="7"/>
        <v/>
      </c>
      <c r="Z12" s="138"/>
      <c r="AA12" s="139"/>
      <c r="AB12" s="139"/>
      <c r="AC12" s="139"/>
      <c r="AD12" s="139"/>
      <c r="AE12" s="147" t="str">
        <f t="shared" si="8"/>
        <v/>
      </c>
      <c r="AF12" s="138"/>
      <c r="AG12" s="139"/>
      <c r="AH12" s="139"/>
      <c r="AI12" s="139"/>
      <c r="AJ12" s="139"/>
      <c r="AK12" s="140" t="str">
        <f t="shared" si="9"/>
        <v/>
      </c>
    </row>
    <row r="13" spans="1:37">
      <c r="A13" s="134" t="str">
        <f>Liste_services!A3</f>
        <v>Roquebrune</v>
      </c>
      <c r="B13" s="138"/>
      <c r="C13" s="139">
        <v>3375</v>
      </c>
      <c r="D13" s="139">
        <v>3556</v>
      </c>
      <c r="E13" s="139">
        <v>3552</v>
      </c>
      <c r="F13" s="139">
        <v>3630</v>
      </c>
      <c r="G13" s="140">
        <f t="shared" si="10"/>
        <v>3528.25</v>
      </c>
      <c r="H13" s="138">
        <v>1163609</v>
      </c>
      <c r="I13" s="139">
        <v>1151150</v>
      </c>
      <c r="J13" s="139">
        <v>1135965</v>
      </c>
      <c r="K13" s="139">
        <v>1174652</v>
      </c>
      <c r="L13" s="139"/>
      <c r="M13" s="140">
        <f t="shared" si="6"/>
        <v>1156344</v>
      </c>
      <c r="N13" s="138"/>
      <c r="O13" s="139">
        <v>1541757</v>
      </c>
      <c r="P13" s="139">
        <v>1595803</v>
      </c>
      <c r="Q13" s="139">
        <v>1151989</v>
      </c>
      <c r="R13" s="139">
        <v>1241401</v>
      </c>
      <c r="S13" s="147">
        <f t="shared" si="11"/>
        <v>1382737.5</v>
      </c>
      <c r="T13" s="138"/>
      <c r="U13" s="139">
        <f>1000*1/C13</f>
        <v>0.29629629629629628</v>
      </c>
      <c r="V13" s="139"/>
      <c r="W13" s="139">
        <f>1000*1/E13</f>
        <v>0.28153153153153154</v>
      </c>
      <c r="X13" s="139"/>
      <c r="Y13" s="140">
        <f t="shared" si="7"/>
        <v>0.28999999999999998</v>
      </c>
      <c r="Z13" s="138"/>
      <c r="AA13" s="139"/>
      <c r="AB13" s="139">
        <v>14</v>
      </c>
      <c r="AC13" s="139">
        <v>16</v>
      </c>
      <c r="AD13" s="139"/>
      <c r="AE13" s="147">
        <f t="shared" si="8"/>
        <v>15</v>
      </c>
      <c r="AF13" s="138"/>
      <c r="AG13" s="139">
        <v>8620</v>
      </c>
      <c r="AH13" s="139"/>
      <c r="AI13" s="139">
        <v>11427</v>
      </c>
      <c r="AJ13" s="139"/>
      <c r="AK13" s="140">
        <f t="shared" si="9"/>
        <v>10023.5</v>
      </c>
    </row>
    <row r="14" spans="1:37">
      <c r="A14" s="134" t="str">
        <f>Liste_services!A7</f>
        <v>Sainte Agnes</v>
      </c>
      <c r="B14" s="138"/>
      <c r="C14" s="139">
        <v>429</v>
      </c>
      <c r="D14" s="139">
        <v>427</v>
      </c>
      <c r="E14" s="139"/>
      <c r="F14" s="139">
        <v>442</v>
      </c>
      <c r="G14" s="140">
        <f t="shared" si="10"/>
        <v>432.67</v>
      </c>
      <c r="H14" s="138"/>
      <c r="I14" s="139">
        <v>53600</v>
      </c>
      <c r="J14" s="139">
        <v>51177</v>
      </c>
      <c r="K14" s="139"/>
      <c r="L14" s="139">
        <v>54006</v>
      </c>
      <c r="M14" s="140">
        <f t="shared" si="6"/>
        <v>52927.67</v>
      </c>
      <c r="N14" s="138"/>
      <c r="O14" s="139">
        <v>16425</v>
      </c>
      <c r="P14" s="139">
        <v>17885</v>
      </c>
      <c r="Q14" s="139"/>
      <c r="R14" s="139">
        <v>51240</v>
      </c>
      <c r="S14" s="147">
        <f t="shared" si="11"/>
        <v>28516.67</v>
      </c>
      <c r="T14" s="138"/>
      <c r="U14" s="139"/>
      <c r="V14" s="139"/>
      <c r="W14" s="139"/>
      <c r="X14" s="139"/>
      <c r="Y14" s="140" t="str">
        <f t="shared" si="7"/>
        <v/>
      </c>
      <c r="Z14" s="138">
        <v>6</v>
      </c>
      <c r="AA14" s="139">
        <v>2</v>
      </c>
      <c r="AB14" s="139">
        <v>3</v>
      </c>
      <c r="AC14" s="139"/>
      <c r="AD14" s="139">
        <v>4</v>
      </c>
      <c r="AE14" s="147">
        <f t="shared" si="8"/>
        <v>3.75</v>
      </c>
      <c r="AF14" s="138"/>
      <c r="AG14" s="139">
        <v>0</v>
      </c>
      <c r="AH14" s="139">
        <v>400</v>
      </c>
      <c r="AI14" s="139"/>
      <c r="AJ14" s="139">
        <v>0</v>
      </c>
      <c r="AK14" s="140">
        <f t="shared" si="9"/>
        <v>133.33000000000001</v>
      </c>
    </row>
    <row r="15" spans="1:37">
      <c r="A15" s="134" t="str">
        <f>Liste_services!A13</f>
        <v>Saorge</v>
      </c>
      <c r="B15" s="138"/>
      <c r="C15" s="139"/>
      <c r="D15" s="139"/>
      <c r="E15" s="139"/>
      <c r="F15" s="139"/>
      <c r="G15" s="140" t="str">
        <f t="shared" si="10"/>
        <v/>
      </c>
      <c r="H15" s="138"/>
      <c r="I15" s="139"/>
      <c r="J15" s="139"/>
      <c r="K15" s="139"/>
      <c r="L15" s="139"/>
      <c r="M15" s="140" t="str">
        <f t="shared" si="6"/>
        <v/>
      </c>
      <c r="N15" s="138"/>
      <c r="O15" s="139"/>
      <c r="P15" s="139"/>
      <c r="Q15" s="139"/>
      <c r="R15" s="139"/>
      <c r="S15" s="147" t="str">
        <f t="shared" si="11"/>
        <v/>
      </c>
      <c r="T15" s="138"/>
      <c r="U15" s="139"/>
      <c r="V15" s="139"/>
      <c r="W15" s="139"/>
      <c r="X15" s="139"/>
      <c r="Y15" s="140" t="str">
        <f t="shared" si="7"/>
        <v/>
      </c>
      <c r="Z15" s="138"/>
      <c r="AA15" s="139"/>
      <c r="AB15" s="139"/>
      <c r="AC15" s="139"/>
      <c r="AD15" s="139"/>
      <c r="AE15" s="147" t="str">
        <f t="shared" si="8"/>
        <v/>
      </c>
      <c r="AF15" s="138"/>
      <c r="AG15" s="139"/>
      <c r="AH15" s="139"/>
      <c r="AI15" s="139"/>
      <c r="AJ15" s="139"/>
      <c r="AK15" s="140" t="str">
        <f t="shared" si="9"/>
        <v/>
      </c>
    </row>
    <row r="16" spans="1:37">
      <c r="A16" s="134" t="str">
        <f>Liste_services!A17</f>
        <v>SIECL</v>
      </c>
      <c r="B16" s="138"/>
      <c r="C16" s="139"/>
      <c r="D16" s="139"/>
      <c r="E16" s="139"/>
      <c r="F16" s="139"/>
      <c r="G16" s="140" t="str">
        <f t="shared" si="10"/>
        <v/>
      </c>
      <c r="H16" s="138"/>
      <c r="I16" s="139"/>
      <c r="J16" s="139"/>
      <c r="K16" s="139"/>
      <c r="L16" s="139"/>
      <c r="M16" s="140" t="str">
        <f t="shared" si="6"/>
        <v/>
      </c>
      <c r="N16" s="138"/>
      <c r="O16" s="139"/>
      <c r="P16" s="139"/>
      <c r="Q16" s="139"/>
      <c r="R16" s="139"/>
      <c r="S16" s="147" t="str">
        <f t="shared" si="11"/>
        <v/>
      </c>
      <c r="T16" s="138"/>
      <c r="U16" s="139"/>
      <c r="V16" s="139"/>
      <c r="W16" s="139"/>
      <c r="X16" s="139"/>
      <c r="Y16" s="140" t="str">
        <f t="shared" si="7"/>
        <v/>
      </c>
      <c r="Z16" s="138"/>
      <c r="AA16" s="139"/>
      <c r="AB16" s="139"/>
      <c r="AC16" s="139"/>
      <c r="AD16" s="139"/>
      <c r="AE16" s="147" t="str">
        <f t="shared" si="8"/>
        <v/>
      </c>
      <c r="AF16" s="138"/>
      <c r="AG16" s="139"/>
      <c r="AH16" s="139"/>
      <c r="AI16" s="139"/>
      <c r="AJ16" s="139"/>
      <c r="AK16" s="140" t="str">
        <f t="shared" si="9"/>
        <v/>
      </c>
    </row>
    <row r="17" spans="1:37">
      <c r="A17" s="134" t="str">
        <f>Liste_services!A18</f>
        <v>SIVOM Villefranche</v>
      </c>
      <c r="B17" s="138"/>
      <c r="C17" s="139"/>
      <c r="D17" s="139"/>
      <c r="E17" s="139"/>
      <c r="F17" s="139"/>
      <c r="G17" s="140" t="str">
        <f t="shared" si="10"/>
        <v/>
      </c>
      <c r="H17" s="138"/>
      <c r="I17" s="139"/>
      <c r="J17" s="139"/>
      <c r="K17" s="139"/>
      <c r="L17" s="139"/>
      <c r="M17" s="140" t="str">
        <f t="shared" si="6"/>
        <v/>
      </c>
      <c r="N17" s="138"/>
      <c r="O17" s="139"/>
      <c r="P17" s="139"/>
      <c r="Q17" s="158"/>
      <c r="R17" s="139"/>
      <c r="S17" s="147" t="str">
        <f t="shared" si="11"/>
        <v/>
      </c>
      <c r="T17" s="138"/>
      <c r="U17" s="139"/>
      <c r="V17" s="139"/>
      <c r="W17" s="139"/>
      <c r="X17" s="139"/>
      <c r="Y17" s="140" t="str">
        <f t="shared" si="7"/>
        <v/>
      </c>
      <c r="Z17" s="138"/>
      <c r="AA17" s="139"/>
      <c r="AB17" s="139"/>
      <c r="AC17" s="139"/>
      <c r="AD17" s="139"/>
      <c r="AE17" s="147" t="str">
        <f t="shared" si="8"/>
        <v/>
      </c>
      <c r="AF17" s="138"/>
      <c r="AG17" s="139"/>
      <c r="AH17" s="139"/>
      <c r="AI17" s="139"/>
      <c r="AJ17" s="139"/>
      <c r="AK17" s="140" t="str">
        <f t="shared" si="9"/>
        <v/>
      </c>
    </row>
    <row r="18" spans="1:37">
      <c r="A18" s="134" t="str">
        <f>Liste_services!A10</f>
        <v>Sospel</v>
      </c>
      <c r="B18" s="138"/>
      <c r="C18" s="139">
        <v>1383</v>
      </c>
      <c r="D18" s="139">
        <v>1409</v>
      </c>
      <c r="E18" s="139">
        <v>1436</v>
      </c>
      <c r="F18" s="139"/>
      <c r="G18" s="140">
        <f t="shared" si="10"/>
        <v>1409.33</v>
      </c>
      <c r="H18" s="138"/>
      <c r="I18" s="139">
        <v>130082</v>
      </c>
      <c r="J18" s="139">
        <v>129454</v>
      </c>
      <c r="K18" s="139">
        <v>141545</v>
      </c>
      <c r="L18" s="139"/>
      <c r="M18" s="140">
        <f t="shared" si="6"/>
        <v>133693.67000000001</v>
      </c>
      <c r="N18" s="138"/>
      <c r="O18" s="139"/>
      <c r="P18" s="139">
        <v>222274</v>
      </c>
      <c r="Q18" s="139">
        <v>138526</v>
      </c>
      <c r="R18" s="139"/>
      <c r="S18" s="147">
        <f t="shared" si="11"/>
        <v>180400</v>
      </c>
      <c r="T18" s="138"/>
      <c r="U18" s="139"/>
      <c r="V18" s="139"/>
      <c r="W18" s="139"/>
      <c r="X18" s="139"/>
      <c r="Y18" s="140" t="str">
        <f t="shared" si="7"/>
        <v/>
      </c>
      <c r="Z18" s="138"/>
      <c r="AA18" s="139"/>
      <c r="AB18" s="139"/>
      <c r="AC18" s="139"/>
      <c r="AD18" s="139"/>
      <c r="AE18" s="147" t="str">
        <f t="shared" si="8"/>
        <v/>
      </c>
      <c r="AF18" s="138"/>
      <c r="AG18" s="139"/>
      <c r="AH18" s="139"/>
      <c r="AI18" s="139"/>
      <c r="AJ18" s="139"/>
      <c r="AK18" s="140" t="str">
        <f t="shared" si="9"/>
        <v/>
      </c>
    </row>
    <row r="19" spans="1:37">
      <c r="A19" s="134" t="str">
        <f>Liste_services!A16</f>
        <v>Tende</v>
      </c>
      <c r="B19" s="141"/>
      <c r="C19" s="142"/>
      <c r="D19" s="142"/>
      <c r="E19" s="142"/>
      <c r="F19" s="142"/>
      <c r="G19" s="143" t="str">
        <f t="shared" si="10"/>
        <v/>
      </c>
      <c r="H19" s="141"/>
      <c r="I19" s="142"/>
      <c r="J19" s="142"/>
      <c r="K19" s="142"/>
      <c r="L19" s="142"/>
      <c r="M19" s="143" t="str">
        <f t="shared" si="6"/>
        <v/>
      </c>
      <c r="N19" s="141"/>
      <c r="O19" s="142"/>
      <c r="P19" s="142"/>
      <c r="Q19" s="142"/>
      <c r="R19" s="142"/>
      <c r="S19" s="148" t="str">
        <f t="shared" si="11"/>
        <v/>
      </c>
      <c r="T19" s="141"/>
      <c r="U19" s="142"/>
      <c r="V19" s="142"/>
      <c r="W19" s="142"/>
      <c r="X19" s="142"/>
      <c r="Y19" s="143" t="str">
        <f t="shared" si="7"/>
        <v/>
      </c>
      <c r="Z19" s="141"/>
      <c r="AA19" s="142"/>
      <c r="AB19" s="142"/>
      <c r="AC19" s="142"/>
      <c r="AD19" s="142"/>
      <c r="AE19" s="148" t="str">
        <f t="shared" si="8"/>
        <v/>
      </c>
      <c r="AF19" s="141"/>
      <c r="AG19" s="142"/>
      <c r="AH19" s="142"/>
      <c r="AI19" s="142"/>
      <c r="AJ19" s="142"/>
      <c r="AK19" s="140" t="str">
        <f t="shared" si="9"/>
        <v/>
      </c>
    </row>
  </sheetData>
  <autoFilter ref="A2:AK2">
    <sortState ref="A3:AK47">
      <sortCondition ref="A2"/>
    </sortState>
  </autoFilter>
  <mergeCells count="6">
    <mergeCell ref="AF1:AK1"/>
    <mergeCell ref="B1:G1"/>
    <mergeCell ref="H1:M1"/>
    <mergeCell ref="N1:S1"/>
    <mergeCell ref="T1:Y1"/>
    <mergeCell ref="Z1:A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theme="2" tint="-0.249977111117893"/>
  </sheetPr>
  <dimension ref="B1:AQ142"/>
  <sheetViews>
    <sheetView showGridLines="0" tabSelected="1" view="pageBreakPreview" zoomScale="60" zoomScaleNormal="55" zoomScalePageLayoutView="25" workbookViewId="0">
      <selection activeCell="B3" sqref="B3:F4"/>
    </sheetView>
  </sheetViews>
  <sheetFormatPr baseColWidth="10" defaultColWidth="11.42578125" defaultRowHeight="13.5" outlineLevelRow="1"/>
  <cols>
    <col min="1" max="1" width="11.42578125" style="307"/>
    <col min="2" max="2" width="40" style="307" customWidth="1"/>
    <col min="3" max="3" width="33" style="307" customWidth="1"/>
    <col min="4" max="4" width="5.28515625" style="307" customWidth="1"/>
    <col min="5" max="5" width="40" style="307" customWidth="1"/>
    <col min="6" max="6" width="48.85546875" style="307" customWidth="1"/>
    <col min="7" max="7" width="63.28515625" style="307" customWidth="1"/>
    <col min="8" max="9" width="15.28515625" style="307" customWidth="1"/>
    <col min="10" max="10" width="15.42578125" style="307" customWidth="1"/>
    <col min="11" max="11" width="16.85546875" style="307" customWidth="1"/>
    <col min="12" max="12" width="14.5703125" style="307" customWidth="1"/>
    <col min="13" max="13" width="16.28515625" style="307" customWidth="1"/>
    <col min="14" max="14" width="22" style="307" hidden="1" customWidth="1"/>
    <col min="15" max="15" width="7.42578125" style="307" hidden="1" customWidth="1"/>
    <col min="16" max="16" width="14.7109375" style="307" hidden="1" customWidth="1"/>
    <col min="17" max="17" width="0" style="307" hidden="1" customWidth="1"/>
    <col min="18" max="20" width="11.42578125" style="307" hidden="1" customWidth="1"/>
    <col min="21" max="21" width="24.42578125" style="307" hidden="1" customWidth="1"/>
    <col min="22" max="28" width="19.42578125" style="307" hidden="1" customWidth="1"/>
    <col min="29" max="29" width="25" style="307" hidden="1" customWidth="1"/>
    <col min="30" max="30" width="19.42578125" style="307" hidden="1" customWidth="1"/>
    <col min="31" max="31" width="11.42578125" style="307" hidden="1" customWidth="1"/>
    <col min="32" max="33" width="0" style="307" hidden="1" customWidth="1"/>
    <col min="34" max="43" width="12.7109375" style="307" hidden="1" customWidth="1"/>
    <col min="44" max="16384" width="11.42578125" style="307"/>
  </cols>
  <sheetData>
    <row r="1" spans="2:30" ht="34.5">
      <c r="B1" s="4" t="s">
        <v>36</v>
      </c>
      <c r="D1" s="5"/>
      <c r="T1" s="307" t="s">
        <v>12</v>
      </c>
    </row>
    <row r="3" spans="2:30" ht="16.5" customHeight="1">
      <c r="B3" s="586" t="s">
        <v>256</v>
      </c>
      <c r="C3" s="586"/>
      <c r="D3" s="586"/>
      <c r="E3" s="586"/>
      <c r="F3" s="586"/>
      <c r="G3" s="586" t="str">
        <f>Nom_service</f>
        <v>SIECL</v>
      </c>
      <c r="H3" s="586"/>
      <c r="I3" s="586"/>
      <c r="J3" s="586"/>
      <c r="K3" s="586"/>
      <c r="L3" s="586"/>
      <c r="M3" s="586"/>
      <c r="N3" s="275"/>
      <c r="O3" s="275"/>
      <c r="P3" s="275"/>
      <c r="R3" s="6"/>
      <c r="S3" s="6"/>
      <c r="T3" s="6"/>
      <c r="U3" s="7" t="s">
        <v>14</v>
      </c>
      <c r="V3" s="7" t="s">
        <v>15</v>
      </c>
      <c r="W3" s="7" t="s">
        <v>16</v>
      </c>
      <c r="X3" s="7" t="s">
        <v>28</v>
      </c>
      <c r="Y3" s="7" t="s">
        <v>17</v>
      </c>
      <c r="Z3" s="7" t="s">
        <v>18</v>
      </c>
      <c r="AA3" s="8" t="s">
        <v>25</v>
      </c>
      <c r="AB3" s="7" t="s">
        <v>19</v>
      </c>
      <c r="AC3" s="7" t="s">
        <v>9</v>
      </c>
      <c r="AD3" s="7" t="s">
        <v>8</v>
      </c>
    </row>
    <row r="4" spans="2:30" ht="6" customHeight="1">
      <c r="B4" s="586"/>
      <c r="C4" s="586"/>
      <c r="D4" s="586"/>
      <c r="E4" s="586"/>
      <c r="F4" s="586"/>
      <c r="G4" s="586"/>
      <c r="H4" s="586"/>
      <c r="I4" s="586"/>
      <c r="J4" s="586"/>
      <c r="K4" s="586"/>
      <c r="L4" s="586"/>
      <c r="M4" s="586"/>
      <c r="N4" s="275"/>
      <c r="O4" s="275"/>
      <c r="P4" s="275"/>
      <c r="R4" s="9" t="s">
        <v>23</v>
      </c>
      <c r="S4" s="9"/>
      <c r="T4" s="9"/>
      <c r="U4" s="10">
        <f>VLOOKUP(Nom_service,Eau_technique!$A$4:$BA$86,29,FALSE)</f>
        <v>1</v>
      </c>
      <c r="V4" s="10">
        <f>VLOOKUP(Nom_service,Eau_technique!$A$4:$BA$86,30,FALSE)</f>
        <v>0.97899999999999998</v>
      </c>
      <c r="W4" s="11">
        <f>VLOOKUP(Nom_service,Eau_technique!$A$4:$BA$86,26,FALSE)</f>
        <v>110</v>
      </c>
      <c r="X4" s="96">
        <f>VLOOKUP(Nom_service,Eau_technique!$A$4:$BA$86,39,FALSE)</f>
        <v>16.41</v>
      </c>
      <c r="Y4" s="23">
        <f>VLOOKUP(Nom_service,Eau_technique!$A$4:$BA$86,42,FALSE)</f>
        <v>4.2740298507462689E-3</v>
      </c>
      <c r="Z4" s="10">
        <f>VLOOKUP(Nom_service,Eau_technique!$A$4:$BA$86,32,FALSE)</f>
        <v>7.35</v>
      </c>
      <c r="AA4" s="123">
        <f>VLOOKUP(Nom_service,Juridique_Eau!$A$3:$AA$18,22,FALSE)</f>
        <v>1.8563604166666665</v>
      </c>
      <c r="AB4" s="15">
        <f>VLOOKUP(Nom_service,Juridique_Eau!$A$3:$AA$18,26,FALSE)</f>
        <v>1.2999999999999999E-3</v>
      </c>
      <c r="AC4" s="10">
        <f>VLOOKUP(Nom_service,Eau_technique!$A$4:$BA$86,40,FALSE)</f>
        <v>0.83</v>
      </c>
      <c r="AD4" s="96">
        <f>VLOOKUP(Nom_service,Eau_technique!$A$4:$BA$86,41,FALSE)</f>
        <v>16.730607237783683</v>
      </c>
    </row>
    <row r="5" spans="2:30" ht="16.5" customHeight="1">
      <c r="B5" s="567" t="s">
        <v>197</v>
      </c>
      <c r="C5" s="567"/>
      <c r="D5" s="567"/>
      <c r="E5" s="567"/>
      <c r="F5" s="532" t="str">
        <f>VLOOKUP(Nom_service,Eau_technique!$A$3:$BE$19,57,FALSE)</f>
        <v>Exercice 2015</v>
      </c>
      <c r="G5" s="567" t="s">
        <v>48</v>
      </c>
      <c r="H5" s="567"/>
      <c r="I5" s="567"/>
      <c r="J5" s="567"/>
      <c r="K5" s="567"/>
      <c r="L5" s="567"/>
      <c r="M5" s="567"/>
      <c r="N5" s="320"/>
      <c r="O5" s="320"/>
      <c r="P5" s="320"/>
      <c r="R5" s="6"/>
      <c r="S5" s="6"/>
      <c r="T5" s="6"/>
      <c r="U5" s="6"/>
      <c r="V5" s="6"/>
      <c r="W5" s="6"/>
      <c r="X5" s="6"/>
      <c r="Y5" s="6"/>
      <c r="Z5" s="6"/>
      <c r="AA5" s="6"/>
      <c r="AB5" s="6"/>
      <c r="AC5" s="6"/>
      <c r="AD5" s="6"/>
    </row>
    <row r="6" spans="2:30" ht="9.75" customHeight="1">
      <c r="B6" s="49"/>
      <c r="C6" s="49"/>
      <c r="D6" s="49"/>
      <c r="E6" s="48"/>
      <c r="F6" s="31"/>
      <c r="I6" s="48"/>
      <c r="R6" s="6"/>
      <c r="S6" s="6"/>
      <c r="T6" s="6"/>
      <c r="U6" s="6"/>
      <c r="V6" s="6"/>
      <c r="W6" s="6"/>
      <c r="X6" s="6"/>
      <c r="Y6" s="6"/>
      <c r="Z6" s="6"/>
      <c r="AA6" s="6"/>
      <c r="AB6" s="6"/>
      <c r="AC6" s="6"/>
      <c r="AD6" s="6"/>
    </row>
    <row r="7" spans="2:30" ht="20.25">
      <c r="B7" s="49" t="s">
        <v>201</v>
      </c>
      <c r="C7" s="332">
        <f>VLOOKUP(Nom_service,Eau_technique!$A$3:$BD$19,4,FALSE)</f>
        <v>34684</v>
      </c>
      <c r="D7" s="65"/>
      <c r="E7" s="49" t="s">
        <v>843</v>
      </c>
      <c r="F7" s="439">
        <f>VLOOKUP(Nom_service,Eau_technique!$A$3:$BH$19,58,FALSE)</f>
        <v>267340</v>
      </c>
      <c r="G7" s="334"/>
      <c r="H7" s="357">
        <v>2014</v>
      </c>
      <c r="I7" s="358">
        <v>2015</v>
      </c>
      <c r="J7" s="359">
        <v>2016</v>
      </c>
      <c r="K7" s="335"/>
      <c r="R7" s="6" t="s">
        <v>21</v>
      </c>
      <c r="S7" s="6"/>
      <c r="T7" s="6"/>
      <c r="U7" s="10">
        <v>0.99</v>
      </c>
      <c r="V7" s="10">
        <v>0.99</v>
      </c>
      <c r="W7" s="12">
        <v>57</v>
      </c>
      <c r="X7" s="13">
        <v>12.7</v>
      </c>
      <c r="Y7" s="14">
        <v>0.01</v>
      </c>
      <c r="Z7" s="12">
        <v>3</v>
      </c>
      <c r="AA7" s="12">
        <v>1.94</v>
      </c>
      <c r="AB7" s="15">
        <v>0.01</v>
      </c>
      <c r="AC7" s="10">
        <v>0.8</v>
      </c>
      <c r="AD7" s="12">
        <v>4</v>
      </c>
    </row>
    <row r="8" spans="2:30" ht="20.25">
      <c r="B8" s="49"/>
      <c r="C8" s="332"/>
      <c r="D8" s="65"/>
      <c r="E8" s="49" t="s">
        <v>842</v>
      </c>
      <c r="F8" s="439">
        <f>VLOOKUP(Nom_service,Eau_technique!$A$3:$BH$19,59,FALSE)</f>
        <v>11796633</v>
      </c>
      <c r="G8" s="360" t="s">
        <v>33</v>
      </c>
      <c r="H8" s="500">
        <f>VLOOKUP(Nom_service,Financier_Eau!$A$3:$X$18,16,FALSE)</f>
        <v>-1599910</v>
      </c>
      <c r="I8" s="505">
        <f>VLOOKUP(Nom_service,Financier_Eau!$A$3:$X$18,17,FALSE)</f>
        <v>1758027</v>
      </c>
      <c r="J8" s="501">
        <f>VLOOKUP(Nom_service,Financier_Eau!$A$3:$X$18,18,FALSE)</f>
        <v>4813781</v>
      </c>
      <c r="K8" s="48"/>
      <c r="R8" s="6"/>
      <c r="S8" s="6"/>
      <c r="T8" s="6"/>
      <c r="U8" s="50"/>
      <c r="V8" s="50"/>
      <c r="W8" s="51"/>
      <c r="X8" s="52"/>
      <c r="Y8" s="53"/>
      <c r="Z8" s="51"/>
      <c r="AA8" s="51"/>
      <c r="AB8" s="54"/>
      <c r="AC8" s="50"/>
      <c r="AD8" s="51"/>
    </row>
    <row r="9" spans="2:30" ht="20.25">
      <c r="D9" s="65"/>
      <c r="E9" s="49" t="s">
        <v>841</v>
      </c>
      <c r="F9" s="439">
        <f>VLOOKUP(Nom_service,Eau_technique!$A$3:$BH$19,60,FALSE)</f>
        <v>6855908</v>
      </c>
      <c r="G9" s="361" t="s">
        <v>215</v>
      </c>
      <c r="H9" s="502">
        <f>VLOOKUP(Nom_service,Financier_Eau!$A$3:$X$18,19,FALSE)</f>
        <v>2520252</v>
      </c>
      <c r="I9" s="506">
        <f>VLOOKUP(Nom_service,Financier_Eau!$A$3:$X$18,20,FALSE)</f>
        <v>3483798</v>
      </c>
      <c r="J9" s="504">
        <f>VLOOKUP(Nom_service,Financier_Eau!$A$3:$X$18,21,FALSE)</f>
        <v>8017644</v>
      </c>
      <c r="N9" s="224"/>
      <c r="O9" s="224"/>
      <c r="P9" s="224"/>
      <c r="R9" s="6"/>
      <c r="S9" s="6"/>
      <c r="T9" s="6"/>
      <c r="U9" s="50"/>
      <c r="V9" s="50"/>
      <c r="W9" s="51"/>
      <c r="X9" s="52"/>
      <c r="Y9" s="53"/>
      <c r="Z9" s="51"/>
      <c r="AA9" s="51"/>
      <c r="AB9" s="54"/>
      <c r="AC9" s="50"/>
      <c r="AD9" s="51"/>
    </row>
    <row r="10" spans="2:30" ht="20.25">
      <c r="B10" s="117" t="s">
        <v>6</v>
      </c>
      <c r="C10" s="332">
        <f>VLOOKUP(Nom_service,Eau_technique!$A$3:$BD$19,22,FALSE)</f>
        <v>11979</v>
      </c>
      <c r="D10" s="65"/>
      <c r="E10" s="49" t="s">
        <v>353</v>
      </c>
      <c r="F10" s="439">
        <f>VLOOKUP(Nom_service,Eau_technique!$A$3:$BD$19,8,FALSE)</f>
        <v>5208065</v>
      </c>
      <c r="G10" s="477" t="s">
        <v>652</v>
      </c>
      <c r="H10" s="502">
        <f>VLOOKUP(Nom_service,Financier_Eau!$A$3:$X$18,22,FALSE)</f>
        <v>3009825</v>
      </c>
      <c r="I10" s="503">
        <f>VLOOKUP(Nom_service,Financier_Eau!$A$3:$X$18,23,FALSE)</f>
        <v>3010125</v>
      </c>
      <c r="J10" s="504">
        <f>VLOOKUP(Nom_service,Financier_Eau!$A$3:$X$18,24,FALSE)</f>
        <v>2101981</v>
      </c>
      <c r="N10" s="128"/>
      <c r="O10" s="128"/>
      <c r="P10" s="128"/>
      <c r="R10" s="16"/>
      <c r="S10" s="6"/>
      <c r="T10" s="6"/>
      <c r="U10" s="6"/>
      <c r="V10" s="6"/>
      <c r="W10" s="6"/>
      <c r="X10" s="6"/>
      <c r="Y10" s="6"/>
      <c r="Z10" s="6"/>
      <c r="AA10" s="6"/>
      <c r="AB10" s="6"/>
      <c r="AC10" s="6"/>
      <c r="AD10" s="6"/>
    </row>
    <row r="11" spans="2:30" ht="20.25">
      <c r="B11" s="49"/>
      <c r="C11" s="65"/>
      <c r="D11" s="65"/>
      <c r="E11" s="49" t="s">
        <v>352</v>
      </c>
      <c r="F11" s="439">
        <f>VLOOKUP(Nom_service,Eau_technique!$A$3:$BD$19,13,FALSE)</f>
        <v>3162330</v>
      </c>
      <c r="I11" s="535"/>
      <c r="O11" s="225"/>
      <c r="P11" s="225"/>
      <c r="R11" s="16"/>
      <c r="S11" s="6"/>
      <c r="T11" s="6"/>
      <c r="U11" s="6"/>
      <c r="V11" s="6"/>
      <c r="W11" s="6"/>
      <c r="X11" s="6"/>
      <c r="Y11" s="6"/>
      <c r="Z11" s="6"/>
      <c r="AA11" s="6"/>
      <c r="AB11" s="6"/>
      <c r="AC11" s="6"/>
      <c r="AD11" s="6"/>
    </row>
    <row r="12" spans="2:30" s="31" customFormat="1" ht="6.75" customHeight="1">
      <c r="B12" s="49"/>
      <c r="C12" s="65"/>
      <c r="D12" s="65"/>
      <c r="E12" s="49"/>
      <c r="F12" s="66"/>
      <c r="G12" s="474"/>
      <c r="H12" s="507"/>
      <c r="I12" s="507"/>
      <c r="J12" s="507"/>
      <c r="K12" s="508"/>
      <c r="L12" s="508"/>
      <c r="O12" s="473"/>
      <c r="P12" s="473"/>
      <c r="R12" s="475"/>
      <c r="S12" s="476"/>
      <c r="T12" s="476"/>
      <c r="U12" s="476"/>
      <c r="V12" s="476"/>
      <c r="W12" s="476"/>
      <c r="X12" s="476"/>
      <c r="Y12" s="476"/>
      <c r="Z12" s="476"/>
      <c r="AA12" s="476"/>
      <c r="AB12" s="476"/>
      <c r="AC12" s="476"/>
      <c r="AD12" s="476"/>
    </row>
    <row r="13" spans="2:30" ht="69" customHeight="1">
      <c r="B13" s="117" t="s">
        <v>0</v>
      </c>
      <c r="C13" s="332">
        <f>VLOOKUP(Nom_service,Eau_technique!$A$3:$BD$19,19,FALSE)</f>
        <v>9736</v>
      </c>
      <c r="D13" s="65"/>
      <c r="E13" s="117" t="s">
        <v>1</v>
      </c>
      <c r="F13" s="306" t="str">
        <f>VLOOKUP(Nom_service,Eau_technique!$A$3:$BD$19,6,FALSE)</f>
        <v>Resource majeure: La Roya + Vésubie (achat)
3 forages et 1 captage en complément</v>
      </c>
      <c r="G13" s="494" t="s">
        <v>31</v>
      </c>
      <c r="H13" s="587" t="str">
        <f>VLOOKUP(Nom_service,Financier_Eau!$A$3:$Y$18,25,FALSE)</f>
        <v>2016 "Redevances versées par les fermiers et concessionnaires" 3,4 M d'€: reversement de l'achat d'eau par le délégataire. Attente du paiement à Nice (contentieux), 1,8M€ payé en 2017
Forte diminution encours de dette en 2016</v>
      </c>
      <c r="I13" s="587"/>
      <c r="J13" s="587"/>
      <c r="K13" s="587"/>
      <c r="L13" s="588"/>
      <c r="M13" s="493"/>
      <c r="O13" s="222"/>
      <c r="P13" s="222"/>
      <c r="R13" s="16"/>
      <c r="S13" s="6"/>
      <c r="T13" s="6"/>
      <c r="U13" s="6"/>
      <c r="V13" s="6"/>
      <c r="W13" s="6"/>
      <c r="X13" s="6"/>
      <c r="Y13" s="6"/>
      <c r="Z13" s="6"/>
      <c r="AA13" s="6"/>
      <c r="AB13" s="6"/>
      <c r="AC13" s="6"/>
      <c r="AD13" s="6"/>
    </row>
    <row r="14" spans="2:30" ht="5.25" customHeight="1">
      <c r="B14" s="49"/>
      <c r="C14" s="65"/>
      <c r="D14" s="65"/>
      <c r="G14" s="48"/>
      <c r="H14" s="274"/>
      <c r="I14" s="274"/>
      <c r="J14" s="274"/>
      <c r="K14" s="274"/>
      <c r="O14" s="223"/>
      <c r="P14" s="223"/>
      <c r="R14" s="16"/>
      <c r="S14" s="6"/>
      <c r="T14" s="6"/>
      <c r="U14" s="6"/>
      <c r="V14" s="6"/>
      <c r="W14" s="6"/>
      <c r="X14" s="6"/>
      <c r="Y14" s="6"/>
      <c r="Z14" s="6"/>
      <c r="AA14" s="6"/>
      <c r="AB14" s="6"/>
      <c r="AC14" s="6"/>
      <c r="AD14" s="6"/>
    </row>
    <row r="15" spans="2:30" ht="20.25" customHeight="1">
      <c r="B15" s="49"/>
      <c r="C15" s="65"/>
      <c r="D15" s="65"/>
      <c r="G15" s="490" t="s">
        <v>653</v>
      </c>
      <c r="H15" s="566" t="str">
        <f>VLOOKUP(Nom_service,Financier_Eau!$A$3:$Z$18,26,FALSE)</f>
        <v>Oui - Eau</v>
      </c>
      <c r="I15" s="566"/>
      <c r="J15" s="566"/>
      <c r="K15" s="274"/>
      <c r="O15" s="223"/>
      <c r="P15" s="223"/>
      <c r="R15" s="16"/>
      <c r="S15" s="6"/>
      <c r="T15" s="6"/>
      <c r="U15" s="6"/>
      <c r="V15" s="6"/>
      <c r="W15" s="6"/>
      <c r="X15" s="6"/>
      <c r="Y15" s="6"/>
      <c r="Z15" s="6"/>
      <c r="AA15" s="6"/>
      <c r="AB15" s="6"/>
      <c r="AC15" s="6"/>
      <c r="AD15" s="6"/>
    </row>
    <row r="16" spans="2:30" ht="39.75" customHeight="1">
      <c r="B16" s="117" t="s">
        <v>32</v>
      </c>
      <c r="C16" s="440">
        <f>VLOOKUP(Nom_service,Eau_technique!$A$3:$BD$19,17,FALSE)</f>
        <v>335</v>
      </c>
      <c r="D16" s="65"/>
      <c r="E16" s="117" t="s">
        <v>236</v>
      </c>
      <c r="F16" s="306">
        <f>VLOOKUP(Nom_service,Eau_technique!$A$3:$BD$19,14,FALSE)</f>
        <v>52</v>
      </c>
      <c r="G16" s="491" t="s">
        <v>224</v>
      </c>
      <c r="H16" s="566" t="str">
        <f>VLOOKUP(Nom_service,Financier_Eau!$A$3:$N$18,11,FALSE)</f>
        <v>oui</v>
      </c>
      <c r="I16" s="566"/>
      <c r="J16" s="566"/>
      <c r="O16" s="222"/>
      <c r="P16" s="222"/>
      <c r="R16" s="6" t="s">
        <v>22</v>
      </c>
      <c r="S16" s="6" t="s">
        <v>24</v>
      </c>
      <c r="T16" s="17">
        <v>-0.5</v>
      </c>
      <c r="U16" s="18">
        <v>1</v>
      </c>
      <c r="V16" s="18">
        <v>1</v>
      </c>
      <c r="W16" s="12"/>
      <c r="X16" s="19">
        <v>5.01</v>
      </c>
      <c r="Y16" s="20">
        <v>3.0000000000000001E-3</v>
      </c>
      <c r="Z16" s="21">
        <f>$T16*Z$7+Z$7</f>
        <v>1.5</v>
      </c>
      <c r="AA16" s="12">
        <v>1.06</v>
      </c>
      <c r="AB16" s="22">
        <v>0.01</v>
      </c>
      <c r="AC16" s="23"/>
      <c r="AD16" s="19">
        <f>X16+1</f>
        <v>6.01</v>
      </c>
    </row>
    <row r="17" spans="2:30" ht="20.25" customHeight="1">
      <c r="B17" s="323"/>
      <c r="C17" s="65"/>
      <c r="D17" s="65"/>
      <c r="E17" s="49" t="s">
        <v>354</v>
      </c>
      <c r="F17" s="439">
        <f>VLOOKUP(Nom_service,Eau_technique!$A$3:$BD$19,16,FALSE)</f>
        <v>34594</v>
      </c>
      <c r="G17" s="491" t="s">
        <v>189</v>
      </c>
      <c r="H17" s="566" t="str">
        <f>VLOOKUP(Nom_service,Financier_Eau!$A$3:$N$18,8,FALSE)</f>
        <v>oui</v>
      </c>
      <c r="I17" s="566"/>
      <c r="J17" s="566"/>
      <c r="O17" s="223"/>
      <c r="P17" s="223"/>
      <c r="R17" s="6"/>
      <c r="S17" s="6"/>
      <c r="T17" s="17"/>
      <c r="U17" s="18"/>
      <c r="V17" s="18"/>
      <c r="W17" s="12"/>
      <c r="X17" s="19"/>
      <c r="Y17" s="20"/>
      <c r="Z17" s="21"/>
      <c r="AA17" s="12"/>
      <c r="AB17" s="22"/>
      <c r="AC17" s="23"/>
      <c r="AD17" s="19"/>
    </row>
    <row r="18" spans="2:30" ht="20.25" customHeight="1">
      <c r="B18" s="49" t="s">
        <v>35</v>
      </c>
      <c r="C18" s="308" t="str">
        <f>VLOOKUP(Nom_service,Juridique_Eau!$A$3:$AA$18,3,FALSE)</f>
        <v>DSP</v>
      </c>
      <c r="D18" s="65"/>
      <c r="G18" s="491" t="s">
        <v>221</v>
      </c>
      <c r="H18" s="566" t="str">
        <f>VLOOKUP(Nom_service,Financier_Eau!$A$3:$N$18,7,FALSE)</f>
        <v>non</v>
      </c>
      <c r="I18" s="566"/>
      <c r="J18" s="566"/>
      <c r="L18" s="317"/>
      <c r="M18" s="317"/>
      <c r="O18" s="222"/>
      <c r="P18" s="222"/>
      <c r="R18" s="6"/>
      <c r="S18" s="6"/>
      <c r="T18" s="17">
        <v>-0.25</v>
      </c>
      <c r="U18" s="18">
        <v>0.98</v>
      </c>
      <c r="V18" s="18">
        <v>0.98</v>
      </c>
      <c r="W18" s="12"/>
      <c r="X18" s="19">
        <v>10.01</v>
      </c>
      <c r="Y18" s="20">
        <v>5.0000000000000001E-3</v>
      </c>
      <c r="Z18" s="21">
        <f>$T18*Z$7+Z$7</f>
        <v>2.25</v>
      </c>
      <c r="AA18" s="12"/>
      <c r="AB18" s="22">
        <v>1.4999999999999999E-2</v>
      </c>
      <c r="AC18" s="23"/>
      <c r="AD18" s="19">
        <f>X18+1</f>
        <v>11.01</v>
      </c>
    </row>
    <row r="19" spans="2:30" ht="20.25" customHeight="1">
      <c r="B19" s="49"/>
      <c r="C19" s="67"/>
      <c r="D19" s="65"/>
      <c r="E19" s="49" t="s">
        <v>237</v>
      </c>
      <c r="F19" s="124">
        <f>VLOOKUP(Nom_service,Eau_technique!$A$3:$BD$19,15,FALSE)</f>
        <v>19</v>
      </c>
      <c r="G19" s="492" t="s">
        <v>143</v>
      </c>
      <c r="H19" s="566" t="str">
        <f>VLOOKUP(Nom_service,Financier_Eau!$A$3:$W$18,15,FALSE)</f>
        <v>oui</v>
      </c>
      <c r="I19" s="566"/>
      <c r="J19" s="566"/>
      <c r="L19" s="317"/>
      <c r="M19" s="317"/>
      <c r="O19" s="223"/>
      <c r="P19" s="223"/>
      <c r="R19" s="6"/>
      <c r="S19" s="6"/>
      <c r="T19" s="17"/>
      <c r="U19" s="18"/>
      <c r="V19" s="18"/>
      <c r="W19" s="12"/>
      <c r="X19" s="19"/>
      <c r="Y19" s="20"/>
      <c r="Z19" s="21"/>
      <c r="AA19" s="12"/>
      <c r="AB19" s="22"/>
      <c r="AC19" s="23"/>
      <c r="AD19" s="19"/>
    </row>
    <row r="20" spans="2:30" ht="9" customHeight="1">
      <c r="D20" s="65"/>
      <c r="H20" s="317"/>
      <c r="I20" s="317"/>
      <c r="J20" s="317"/>
      <c r="K20" s="317"/>
      <c r="L20" s="317"/>
      <c r="M20" s="317"/>
      <c r="O20" s="222"/>
      <c r="P20" s="222"/>
      <c r="R20" s="6"/>
      <c r="S20" s="6"/>
      <c r="T20" s="17">
        <v>0.25</v>
      </c>
      <c r="U20" s="18">
        <v>0.96</v>
      </c>
      <c r="V20" s="18">
        <v>0.96</v>
      </c>
      <c r="W20" s="12"/>
      <c r="X20" s="19">
        <v>15.01</v>
      </c>
      <c r="Y20" s="20">
        <v>0.01</v>
      </c>
      <c r="Z20" s="21">
        <f>$T20*Z$7+Z$7</f>
        <v>3.75</v>
      </c>
      <c r="AA20" s="12"/>
      <c r="AB20" s="22">
        <v>0.02</v>
      </c>
      <c r="AC20" s="23"/>
      <c r="AD20" s="19">
        <f>X20+1</f>
        <v>16.009999999999998</v>
      </c>
    </row>
    <row r="21" spans="2:30" ht="20.25" customHeight="1">
      <c r="B21" s="321" t="s">
        <v>203</v>
      </c>
      <c r="C21" s="441">
        <f>VLOOKUP(Nom_service,ETP!$A$3:$D$18,2,FALSE)</f>
        <v>2</v>
      </c>
      <c r="D21" s="65"/>
      <c r="E21" s="574" t="s">
        <v>230</v>
      </c>
      <c r="F21" s="576" t="str">
        <f>VLOOKUP(Nom_service,ETP!$A$3:$G$18,7,FALSE)</f>
        <v>Technique : 2 personnes - 2 à temps plein
Admin: 2 personnes - 2 à temps plein</v>
      </c>
      <c r="G21" s="577" t="s">
        <v>135</v>
      </c>
      <c r="H21" s="567"/>
      <c r="I21" s="567"/>
      <c r="J21" s="567"/>
      <c r="K21" s="567"/>
      <c r="L21" s="567"/>
      <c r="M21" s="567"/>
      <c r="O21" s="223"/>
      <c r="P21" s="223"/>
      <c r="R21" s="6"/>
      <c r="S21" s="6"/>
      <c r="T21" s="17"/>
      <c r="U21" s="18"/>
      <c r="V21" s="18"/>
      <c r="W21" s="12"/>
      <c r="X21" s="19"/>
      <c r="Y21" s="20"/>
      <c r="Z21" s="21"/>
      <c r="AA21" s="12"/>
      <c r="AB21" s="22"/>
      <c r="AC21" s="23"/>
      <c r="AD21" s="19"/>
    </row>
    <row r="22" spans="2:30" ht="20.25">
      <c r="B22" s="321" t="s">
        <v>202</v>
      </c>
      <c r="C22" s="441">
        <f>VLOOKUP(Nom_service,ETP!$A$3:$D$18,3,FALSE)</f>
        <v>2</v>
      </c>
      <c r="D22" s="65"/>
      <c r="E22" s="575"/>
      <c r="F22" s="576"/>
      <c r="G22" s="509"/>
      <c r="H22" s="75"/>
      <c r="I22" s="75"/>
      <c r="J22" s="75"/>
      <c r="K22" s="75"/>
      <c r="L22" s="75"/>
      <c r="M22" s="75"/>
      <c r="O22" s="222"/>
      <c r="P22" s="222"/>
      <c r="R22" s="6"/>
      <c r="S22" s="6"/>
      <c r="T22" s="17">
        <v>0.8</v>
      </c>
      <c r="U22" s="18">
        <v>0.94</v>
      </c>
      <c r="V22" s="18">
        <v>0.94</v>
      </c>
      <c r="W22" s="12"/>
      <c r="X22" s="19">
        <v>20.010000000000002</v>
      </c>
      <c r="Y22" s="20">
        <v>1.4999999999999999E-2</v>
      </c>
      <c r="Z22" s="21">
        <f>$T22*Z$7+Z$7</f>
        <v>5.4</v>
      </c>
      <c r="AA22" s="12">
        <v>2.7</v>
      </c>
      <c r="AB22" s="22">
        <v>2.5000000000000001E-2</v>
      </c>
      <c r="AC22" s="23"/>
      <c r="AD22" s="19">
        <f>X22+1</f>
        <v>21.01</v>
      </c>
    </row>
    <row r="23" spans="2:30" ht="34.5" customHeight="1">
      <c r="B23" s="321" t="s">
        <v>212</v>
      </c>
      <c r="C23" s="520" t="str">
        <f>VLOOKUP(Nom_service,ETP!$A$3:$G$18,6,FALSE)</f>
        <v>Délégataire</v>
      </c>
      <c r="D23" s="65"/>
      <c r="F23" s="576"/>
      <c r="G23" s="117" t="s">
        <v>84</v>
      </c>
      <c r="H23" s="578" t="str">
        <f>VLOOKUP(Nom_service,Juridique_Eau!$A$3:$AA$18,12,FALSE)</f>
        <v>environ 100</v>
      </c>
      <c r="I23" s="578"/>
      <c r="J23" s="578"/>
      <c r="K23" s="578"/>
      <c r="L23" s="578"/>
      <c r="M23" s="578"/>
      <c r="O23" s="222"/>
      <c r="P23" s="222"/>
      <c r="R23" s="6"/>
      <c r="S23" s="6"/>
      <c r="T23" s="55"/>
      <c r="U23" s="56"/>
      <c r="V23" s="56"/>
      <c r="W23" s="51"/>
      <c r="X23" s="57"/>
      <c r="Y23" s="58"/>
      <c r="Z23" s="59"/>
      <c r="AA23" s="51"/>
      <c r="AB23" s="60"/>
      <c r="AC23" s="61"/>
      <c r="AD23" s="57"/>
    </row>
    <row r="24" spans="2:30" ht="45.75" customHeight="1">
      <c r="F24" s="576"/>
      <c r="G24" s="510" t="s">
        <v>239</v>
      </c>
      <c r="H24" s="579" t="str">
        <f>VLOOKUP(Nom_service,Juridique_Eau!$A$3:$AA$18,10,FALSE)</f>
        <v>Achats d'eau à partir de la Roya (concession commune de Menton jusqu'à 2044) + Vésubie
VEG: Monaco, Bas-services de Menton et Beausoleil</v>
      </c>
      <c r="I24" s="579"/>
      <c r="J24" s="579"/>
      <c r="K24" s="579"/>
      <c r="L24" s="579"/>
      <c r="M24" s="579"/>
      <c r="O24" s="223"/>
      <c r="P24" s="223"/>
      <c r="R24" s="6"/>
      <c r="S24" s="6"/>
      <c r="T24" s="55"/>
      <c r="U24" s="56"/>
      <c r="V24" s="56"/>
      <c r="W24" s="51"/>
      <c r="X24" s="57"/>
      <c r="Y24" s="58"/>
      <c r="Z24" s="59"/>
      <c r="AA24" s="51"/>
      <c r="AB24" s="60"/>
      <c r="AC24" s="61"/>
      <c r="AD24" s="57"/>
    </row>
    <row r="25" spans="2:30" ht="19.5">
      <c r="B25" s="323" t="s">
        <v>314</v>
      </c>
      <c r="C25" s="580" t="str">
        <f>VLOOKUP(Nom_service,Eau_technique!$A$3:$BD$19,54,FALSE)</f>
        <v>3 véhicules</v>
      </c>
      <c r="G25" s="511" t="s">
        <v>83</v>
      </c>
      <c r="H25" s="578" t="str">
        <f>VLOOKUP(Nom_service,Juridique_Eau!$A$3:$AA$18,11,FALSE)</f>
        <v xml:space="preserve">En cours pour les ressources complémentaires </v>
      </c>
      <c r="I25" s="578"/>
      <c r="J25" s="578"/>
      <c r="K25" s="578"/>
      <c r="L25" s="578"/>
      <c r="M25" s="578"/>
      <c r="O25" s="222"/>
      <c r="P25" s="222"/>
      <c r="R25" s="6"/>
      <c r="S25" s="6"/>
      <c r="T25" s="6"/>
      <c r="U25" s="6"/>
      <c r="V25" s="6"/>
      <c r="W25" s="6"/>
      <c r="X25" s="6"/>
      <c r="Y25" s="6"/>
      <c r="Z25" s="6"/>
      <c r="AA25" s="6"/>
      <c r="AB25" s="6"/>
      <c r="AC25" s="6"/>
      <c r="AD25" s="6"/>
    </row>
    <row r="26" spans="2:30" ht="51" customHeight="1">
      <c r="C26" s="580"/>
      <c r="E26" s="321" t="s">
        <v>299</v>
      </c>
      <c r="F26" s="308">
        <f>VLOOKUP(Nom_service,Eau_technique!$A$3:$BD$19,55,FALSE)</f>
        <v>2000</v>
      </c>
      <c r="G26" s="511" t="s">
        <v>293</v>
      </c>
      <c r="H26" s="579" t="str">
        <f>VLOOKUP(Nom_service,Juridique_Eau!$A$3:$AD$18,30,FALSE)</f>
        <v>1 contentieux avec Eau d'Azur (Nice)
1 contentieux avec préfecture des Alpes Maritimes
1 contentieux avec l'entreprise VICA</v>
      </c>
      <c r="I26" s="579"/>
      <c r="J26" s="579"/>
      <c r="K26" s="579"/>
      <c r="L26" s="579"/>
      <c r="M26" s="579"/>
      <c r="O26" s="223"/>
      <c r="P26" s="223"/>
      <c r="R26" s="6"/>
      <c r="S26" s="6"/>
      <c r="T26" s="6"/>
      <c r="U26" s="6"/>
      <c r="V26" s="6"/>
      <c r="W26" s="6"/>
      <c r="X26" s="6"/>
      <c r="Y26" s="6"/>
      <c r="Z26" s="6"/>
      <c r="AA26" s="6"/>
      <c r="AB26" s="6"/>
      <c r="AC26" s="6"/>
      <c r="AD26" s="6"/>
    </row>
    <row r="27" spans="2:30" ht="19.5">
      <c r="C27" s="580"/>
      <c r="E27" s="322"/>
      <c r="F27" s="327"/>
      <c r="G27" s="117" t="s">
        <v>206</v>
      </c>
      <c r="H27" s="570">
        <f>VLOOKUP(Nom_service,Juridique_Eau!$A$3:$AA$18,5,FALSE)</f>
        <v>45657</v>
      </c>
      <c r="I27" s="570"/>
      <c r="J27" s="570"/>
      <c r="K27" s="570"/>
      <c r="L27" s="570"/>
      <c r="M27" s="570"/>
      <c r="O27" s="222"/>
      <c r="P27" s="222"/>
      <c r="R27" s="24" t="s">
        <v>30</v>
      </c>
      <c r="S27" s="9"/>
      <c r="U27" s="25">
        <f>IF(U7="nc","NC",IF(U7=U$16,4,IF(U7&lt;U$22,0,IF(U7&lt;U$20,1,IF(U7&lt;U$18,2,IF(U7&lt;U$16,3))))))</f>
        <v>3</v>
      </c>
      <c r="V27" s="25">
        <f>IF(V7="nc","NC",IF(V7=V$16,4,IF(V7&lt;V$22,0,IF(V7&lt;V$20,1,IF(V7&lt;V$18,2,IF(V7&lt;V$16,3))))))</f>
        <v>3</v>
      </c>
      <c r="W27" s="26">
        <f>W7/100*4</f>
        <v>2.2799999999999998</v>
      </c>
      <c r="X27" s="26">
        <f>IF(X7="nc","NC",IF(X7&lt;X$16,4,IF(X7&lt;X$18,3,IF(X7&lt;X$20,2,IF(X7&lt;X$22,1,IF(X7&gt;X$22,0))))))</f>
        <v>2</v>
      </c>
      <c r="Y27" s="25">
        <f>IF(Y7="nc","NC",IF(Y7&lt;Y$16,0,IF(Y7&lt;Y$18,1,IF(Y7&lt;Y$20,2,IF(Y7&lt;Y$22,3,IF(Y7&gt;Y$22,4))))))</f>
        <v>3</v>
      </c>
      <c r="Z27" s="25">
        <f>IF(Z7="nc","NC",IF(Z7&lt;Z$16,4,IF(Z7&lt;Z$18,3,IF(Z7&lt;Z$20,2,IF(Z7&lt;Z$22,1,IF(Z7&gt;Z$22,0))))))</f>
        <v>2</v>
      </c>
      <c r="AA27" s="27">
        <f>IF(AA7&lt;$AA$16,4,IF(AA7&gt;$AA$22,0,-2.46*AA7+6.66))</f>
        <v>1.8875999999999999</v>
      </c>
      <c r="AB27" s="26">
        <f>IF(AB7="nc","NC",IF(AB7&lt;AB$16,4,IF(AB7&lt;AB$18,3,IF(AB7&lt;AB$20,2,IF(AB7&lt;AB$22,1,IF(AB7&gt;AB$22,0))))))</f>
        <v>3</v>
      </c>
      <c r="AC27" s="26"/>
      <c r="AD27" s="26"/>
    </row>
    <row r="28" spans="2:30" ht="37.5" customHeight="1">
      <c r="C28" s="580"/>
      <c r="E28" s="318" t="s">
        <v>322</v>
      </c>
      <c r="F28" s="124" t="str">
        <f>VLOOKUP(Nom_service,Eau_technique!$A$3:$BD$19,56,FALSE)</f>
        <v>oui</v>
      </c>
      <c r="G28" s="511" t="s">
        <v>190</v>
      </c>
      <c r="H28" s="579" t="str">
        <f>VLOOKUP(Nom_service,Juridique_Eau!$A$3:$AA$18,23,FALSE)</f>
        <v>n.a.</v>
      </c>
      <c r="I28" s="579"/>
      <c r="J28" s="579"/>
      <c r="K28" s="579"/>
      <c r="L28" s="579"/>
      <c r="M28" s="579"/>
      <c r="O28" s="223"/>
      <c r="P28" s="223"/>
      <c r="R28" s="9" t="s">
        <v>26</v>
      </c>
      <c r="S28" s="9"/>
      <c r="U28" s="25">
        <f>IF(U4="nc","NC",IF(U4=U$16,4,IF(U4&lt;U$22,0,IF(U4&lt;U$20,1,IF(U4&lt;U$18,2,IF(U4&lt;U$16,3))))))</f>
        <v>4</v>
      </c>
      <c r="V28" s="25">
        <f>IF(V4="nc","NC",IF(V4=V$16,4,IF(V4&lt;V$22,0,IF(V4&lt;V$20,1,IF(V4&lt;V$18,2,IF(V4&lt;V$16,3))))))</f>
        <v>2</v>
      </c>
      <c r="W28" s="25">
        <f>IF(W4="NC","NC",W4/100*4)</f>
        <v>4.4000000000000004</v>
      </c>
      <c r="X28" s="25">
        <f>IF(X4="nc","NC",IF(X4&lt;X$16,4,IF(X4&lt;X$18,3,IF(X4&lt;X$20,2,IF(X4&lt;X$22,1,IF(X4&gt;X$22,0))))))</f>
        <v>1</v>
      </c>
      <c r="Y28" s="25">
        <f>IF(Y4="nc","NC",IF(Y4&lt;Y$16,0,IF(Y4&lt;Y$18,1,IF(Y4&lt;Y$20,2,IF(Y4&lt;Y$22,3,IF(Y4&gt;Y$22,4))))))</f>
        <v>1</v>
      </c>
      <c r="Z28" s="25">
        <f>IF(Z4="nc","NC",IF(Z4&lt;Z$16,4,IF(Z4&lt;Z$18,3,IF(Z4&lt;Z$20,2,IF(Z4&lt;Z$22,1,IF(Z4&gt;Z$22,0))))))</f>
        <v>0</v>
      </c>
      <c r="AA28" s="27">
        <f>IF(AA4&lt;$AA$16,4,IF(AA4&gt;$AA$22,0,-2.46*AA4+6.66))</f>
        <v>2.0933533750000004</v>
      </c>
      <c r="AB28" s="25">
        <f>IF(AB4="nc","NC",IF(AB4&lt;AB$16,4,IF(AB4&lt;AB$18,3,IF(AB4&lt;AB$20,2,IF(AB4&lt;AB$22,1,IF(AB4&gt;AB$22,0))))))</f>
        <v>4</v>
      </c>
      <c r="AC28" s="25">
        <f>X28</f>
        <v>1</v>
      </c>
      <c r="AD28" s="25">
        <f>IF(AD4="nc","NC",IF(AD4&lt;AD$16,4,IF(AD4&lt;AD$18,3,IF(AD4&lt;AD$20,2,IF(AD4&lt;AD$22,1,IF(AD4&gt;AD$22,0))))))</f>
        <v>1</v>
      </c>
    </row>
    <row r="29" spans="2:30" ht="9" customHeight="1">
      <c r="F29" s="327"/>
      <c r="O29" s="222"/>
      <c r="P29" s="222"/>
    </row>
    <row r="30" spans="2:30" ht="16.5" customHeight="1">
      <c r="B30" s="567" t="s">
        <v>37</v>
      </c>
      <c r="C30" s="567"/>
      <c r="D30" s="567"/>
      <c r="E30" s="567"/>
      <c r="F30" s="532" t="str">
        <f>VLOOKUP(Nom_service,Eau_technique!$A$3:$BE$19,57,FALSE)</f>
        <v>Exercice 2015</v>
      </c>
      <c r="G30" s="567" t="s">
        <v>53</v>
      </c>
      <c r="H30" s="567"/>
      <c r="I30" s="567"/>
      <c r="J30" s="567"/>
      <c r="K30" s="567"/>
      <c r="L30" s="567"/>
      <c r="M30" s="567"/>
      <c r="O30" s="222"/>
      <c r="P30" s="222"/>
    </row>
    <row r="31" spans="2:30" ht="20.25">
      <c r="B31" s="319" t="s">
        <v>238</v>
      </c>
      <c r="C31" s="326"/>
      <c r="D31" s="46"/>
      <c r="E31" s="326" t="s">
        <v>5</v>
      </c>
      <c r="F31" s="326"/>
      <c r="G31" s="313" t="s">
        <v>225</v>
      </c>
      <c r="I31" s="313" t="s">
        <v>226</v>
      </c>
      <c r="J31" s="312"/>
      <c r="K31" s="312"/>
      <c r="L31" s="312"/>
      <c r="M31" s="312"/>
      <c r="O31" s="222"/>
      <c r="P31" s="222"/>
      <c r="V31" s="28"/>
    </row>
    <row r="32" spans="2:30" ht="54" customHeight="1">
      <c r="B32" s="321" t="s">
        <v>356</v>
      </c>
      <c r="C32" s="438">
        <f>U4</f>
        <v>1</v>
      </c>
      <c r="D32" s="62"/>
      <c r="E32" s="323" t="s">
        <v>351</v>
      </c>
      <c r="F32" s="127">
        <f>+X4</f>
        <v>16.41</v>
      </c>
      <c r="G32" s="324" t="str">
        <f>VLOOKUP(Nom_service,Eau_technique!$A$4:$HV$50,52,FALSE)</f>
        <v>Renouvellement réseau (7,2km dont 2,7km SIECL - 1,3M€)</v>
      </c>
      <c r="H32" s="310"/>
      <c r="I32" s="581" t="s">
        <v>740</v>
      </c>
      <c r="J32" s="581"/>
      <c r="K32" s="572" t="str">
        <f>VLOOKUP(Nom_service,Eau_technique!$A$4:$HV$50,12,FALSE)</f>
        <v>nc</v>
      </c>
      <c r="L32" s="572"/>
      <c r="M32" s="309"/>
      <c r="O32" s="222"/>
      <c r="P32" s="222"/>
      <c r="V32" s="28"/>
      <c r="W32" s="28"/>
      <c r="X32" s="28"/>
      <c r="Y32" s="28"/>
    </row>
    <row r="33" spans="2:43" ht="20.25" customHeight="1">
      <c r="B33" s="69"/>
      <c r="C33" s="125"/>
      <c r="D33" s="29"/>
      <c r="E33" s="68"/>
      <c r="F33" s="118"/>
      <c r="G33" s="310"/>
      <c r="H33" s="310"/>
      <c r="I33" s="583" t="str">
        <f>VLOOKUP(Nom_service,Eau_technique!$A$4:$HV$50,53,FALSE)</f>
        <v>Travaux Vésubie 8M€ (1/3 SIECL ; 2/3 Monaco)
forage reconnaissance pour ress interne (80k€)
renouvellement réseau (délégataire 440k€/an branchements, compteurs &amp; éléectroméca; 513k€/an canalisation - SIECL 4,7M€ budget 2017 - 770k€ réalisé 2015)</v>
      </c>
      <c r="J33" s="583"/>
      <c r="K33" s="583"/>
      <c r="L33" s="583"/>
      <c r="M33" s="583"/>
      <c r="O33" s="222"/>
      <c r="P33" s="222"/>
      <c r="V33" s="28"/>
      <c r="W33" s="28"/>
      <c r="X33" s="28"/>
      <c r="Y33" s="28"/>
    </row>
    <row r="34" spans="2:43" ht="78.75" customHeight="1">
      <c r="B34" s="321" t="s">
        <v>357</v>
      </c>
      <c r="C34" s="438">
        <f>+V4</f>
        <v>0.97899999999999998</v>
      </c>
      <c r="D34" s="44"/>
      <c r="E34" s="323" t="s">
        <v>678</v>
      </c>
      <c r="F34" s="127">
        <f>+AD4</f>
        <v>16.730607237783683</v>
      </c>
      <c r="G34" s="310"/>
      <c r="H34" s="310"/>
      <c r="I34" s="583"/>
      <c r="J34" s="583"/>
      <c r="K34" s="583"/>
      <c r="L34" s="583"/>
      <c r="M34" s="583"/>
      <c r="O34" s="222"/>
      <c r="P34" s="222"/>
      <c r="S34" s="30"/>
      <c r="T34" s="30"/>
      <c r="U34" s="30"/>
      <c r="V34" s="30"/>
      <c r="W34" s="30"/>
      <c r="X34" s="30"/>
      <c r="Y34" s="30"/>
      <c r="Z34" s="31"/>
    </row>
    <row r="35" spans="2:43" ht="19.5" customHeight="1">
      <c r="B35" s="70"/>
      <c r="C35" s="125"/>
      <c r="D35" s="45"/>
      <c r="E35" s="100"/>
      <c r="F35" s="118"/>
      <c r="G35" s="310"/>
      <c r="H35" s="310"/>
      <c r="I35" s="583"/>
      <c r="J35" s="583"/>
      <c r="K35" s="583"/>
      <c r="L35" s="583"/>
      <c r="M35" s="583"/>
      <c r="O35" s="226"/>
      <c r="P35" s="226"/>
      <c r="S35" s="30"/>
      <c r="T35" s="30"/>
      <c r="U35" s="30"/>
      <c r="V35" s="32"/>
      <c r="W35" s="32"/>
      <c r="X35" s="32"/>
      <c r="Y35" s="32"/>
      <c r="Z35" s="31"/>
    </row>
    <row r="36" spans="2:43" ht="29.25" customHeight="1">
      <c r="B36" s="321" t="s">
        <v>358</v>
      </c>
      <c r="C36" s="121" t="str">
        <f>VLOOKUP(Nom_service,Eau_technique!$A$3:$BD$19,37,FALSE)</f>
        <v>nc</v>
      </c>
      <c r="D36" s="44"/>
      <c r="E36" s="323" t="s">
        <v>355</v>
      </c>
      <c r="F36" s="470">
        <f>+Y4</f>
        <v>4.2740298507462689E-3</v>
      </c>
      <c r="G36" s="577" t="s">
        <v>294</v>
      </c>
      <c r="H36" s="567"/>
      <c r="I36" s="567"/>
      <c r="J36" s="567"/>
      <c r="K36" s="567"/>
      <c r="L36" s="567"/>
      <c r="M36" s="567"/>
      <c r="S36" s="30"/>
      <c r="T36" s="30"/>
      <c r="U36" s="30"/>
      <c r="V36" s="33"/>
      <c r="W36" s="33"/>
      <c r="X36" s="33"/>
      <c r="Y36" s="33"/>
      <c r="Z36" s="31"/>
    </row>
    <row r="37" spans="2:43" ht="9" customHeight="1">
      <c r="B37" s="70"/>
      <c r="C37" s="125"/>
      <c r="D37" s="45"/>
      <c r="E37" s="100"/>
      <c r="F37" s="118"/>
      <c r="S37" s="30"/>
      <c r="T37" s="30"/>
      <c r="U37" s="30"/>
      <c r="V37" s="33"/>
      <c r="W37" s="33"/>
      <c r="X37" s="33"/>
      <c r="Y37" s="33"/>
      <c r="Z37" s="31"/>
    </row>
    <row r="38" spans="2:43" ht="34.5">
      <c r="B38" s="321" t="s">
        <v>27</v>
      </c>
      <c r="C38" s="126">
        <f>VLOOKUP(Nom_service,Eau_technique!$A$3:$BD$19,38,FALSE)</f>
        <v>37.821428571428569</v>
      </c>
      <c r="D38" s="47"/>
      <c r="E38" s="323" t="s">
        <v>648</v>
      </c>
      <c r="F38" s="124">
        <f>+W4</f>
        <v>110</v>
      </c>
      <c r="G38" s="330" t="s">
        <v>295</v>
      </c>
      <c r="I38" s="578" t="str">
        <f>VLOOKUP(Nom_service,Incendie!$A$3:$D$19,2,FALSE)</f>
        <v>Sans objet</v>
      </c>
      <c r="J38" s="578"/>
      <c r="K38" s="578"/>
      <c r="L38" s="578"/>
      <c r="M38" s="578"/>
      <c r="N38" s="219"/>
      <c r="O38" s="219"/>
      <c r="P38" s="219"/>
      <c r="S38" s="30"/>
      <c r="T38" s="30"/>
      <c r="U38" s="30"/>
      <c r="V38" s="33"/>
      <c r="W38" s="33"/>
      <c r="X38" s="33"/>
      <c r="Y38" s="33"/>
      <c r="Z38" s="31"/>
    </row>
    <row r="39" spans="2:43" ht="55.5" customHeight="1">
      <c r="B39" s="321"/>
      <c r="C39" s="63"/>
      <c r="D39" s="47"/>
      <c r="E39" s="323"/>
      <c r="F39" s="120"/>
      <c r="G39" s="330" t="s">
        <v>296</v>
      </c>
      <c r="I39" s="579" t="str">
        <f>VLOOKUP(Nom_service,Incendie!$A$3:$D$19,3,FALSE)</f>
        <v>Sans objet</v>
      </c>
      <c r="J39" s="579"/>
      <c r="K39" s="579"/>
      <c r="L39" s="579"/>
      <c r="M39" s="579"/>
      <c r="N39" s="219"/>
      <c r="O39" s="219"/>
      <c r="P39" s="219"/>
      <c r="S39" s="30"/>
      <c r="T39" s="30"/>
      <c r="U39" s="30"/>
      <c r="V39" s="32"/>
      <c r="W39" s="32"/>
      <c r="X39" s="32"/>
      <c r="Y39" s="34"/>
      <c r="Z39" s="31"/>
    </row>
    <row r="40" spans="2:43" ht="35.25" customHeight="1">
      <c r="B40" s="321" t="s">
        <v>213</v>
      </c>
      <c r="C40" s="582" t="str">
        <f>VLOOKUP(Nom_service,Eau_technique!$A$3:$BD$19,51,FALSE)</f>
        <v>Dépendance / ressource externe</v>
      </c>
      <c r="D40" s="47"/>
      <c r="E40" s="323" t="s">
        <v>359</v>
      </c>
      <c r="F40" s="121">
        <f>+AC4</f>
        <v>0.83</v>
      </c>
      <c r="G40" s="330" t="s">
        <v>329</v>
      </c>
      <c r="I40" s="571" t="str">
        <f>VLOOKUP(Nom_service,Incendie!$A$3:$E$19,5,FALSE)</f>
        <v>Sans objet</v>
      </c>
      <c r="J40" s="571"/>
      <c r="K40" s="571"/>
      <c r="L40" s="571"/>
      <c r="M40" s="571"/>
      <c r="N40" s="219"/>
      <c r="O40" s="219"/>
      <c r="P40" s="219"/>
      <c r="S40" s="30"/>
      <c r="T40" s="30"/>
      <c r="U40" s="30"/>
      <c r="V40" s="32"/>
      <c r="W40" s="32"/>
      <c r="X40" s="32"/>
      <c r="Y40" s="34"/>
      <c r="Z40" s="31"/>
    </row>
    <row r="41" spans="2:43" ht="35.25" customHeight="1">
      <c r="C41" s="582"/>
      <c r="D41" s="45"/>
      <c r="E41" s="323" t="s">
        <v>360</v>
      </c>
      <c r="F41" s="124" t="str">
        <f>VLOOKUP(Nom_service,Eau_technique!$A$3:$BD$19,50,FALSE)</f>
        <v>Respecté</v>
      </c>
      <c r="G41" s="284"/>
      <c r="H41" s="285"/>
      <c r="N41" s="219"/>
      <c r="O41" s="219"/>
      <c r="P41" s="219"/>
      <c r="S41" s="30"/>
      <c r="T41" s="30"/>
      <c r="U41" s="30"/>
      <c r="V41" s="35"/>
      <c r="W41" s="35"/>
      <c r="X41" s="35"/>
      <c r="Y41" s="35"/>
      <c r="Z41" s="31"/>
    </row>
    <row r="42" spans="2:43" ht="35.25" customHeight="1">
      <c r="C42" s="582"/>
      <c r="D42" s="47"/>
      <c r="E42" s="323" t="s">
        <v>649</v>
      </c>
      <c r="F42" s="119" t="str">
        <f>IF(F41="nc","nc",(IF(F41="Non respecté","Oui","Non")))</f>
        <v>Non</v>
      </c>
      <c r="G42" s="286"/>
      <c r="H42" s="283"/>
      <c r="N42" s="219"/>
      <c r="O42" s="219"/>
      <c r="P42" s="219"/>
      <c r="S42" s="30"/>
      <c r="T42" s="30"/>
      <c r="U42" s="30"/>
      <c r="V42" s="36"/>
      <c r="W42" s="36"/>
      <c r="X42" s="36"/>
      <c r="Y42" s="36"/>
      <c r="Z42" s="31"/>
      <c r="AH42" s="129">
        <v>2016</v>
      </c>
      <c r="AI42" s="129">
        <v>2017</v>
      </c>
      <c r="AJ42" s="129">
        <v>2018</v>
      </c>
      <c r="AK42" s="129">
        <v>2019</v>
      </c>
      <c r="AL42" s="129">
        <v>2020</v>
      </c>
      <c r="AM42" s="129">
        <v>2021</v>
      </c>
      <c r="AN42" s="129">
        <v>2022</v>
      </c>
      <c r="AO42" s="129">
        <v>2023</v>
      </c>
      <c r="AP42" s="129">
        <v>2024</v>
      </c>
      <c r="AQ42" s="129">
        <v>2025</v>
      </c>
    </row>
    <row r="43" spans="2:43" ht="18">
      <c r="C43" s="305"/>
      <c r="D43" s="47"/>
      <c r="E43" s="323"/>
      <c r="F43" s="120"/>
      <c r="N43" s="219"/>
      <c r="O43" s="219"/>
      <c r="P43" s="219"/>
      <c r="S43" s="30"/>
      <c r="T43" s="30"/>
      <c r="U43" s="30"/>
      <c r="V43" s="36"/>
      <c r="W43" s="36"/>
      <c r="X43" s="36"/>
      <c r="Y43" s="36"/>
      <c r="Z43" s="31"/>
      <c r="AH43" s="337"/>
      <c r="AI43" s="337"/>
      <c r="AJ43" s="337"/>
      <c r="AK43" s="337"/>
      <c r="AL43" s="337"/>
      <c r="AM43" s="337"/>
      <c r="AN43" s="337"/>
      <c r="AO43" s="337"/>
      <c r="AP43" s="337"/>
      <c r="AQ43" s="337"/>
    </row>
    <row r="44" spans="2:43" ht="18">
      <c r="B44" s="584" t="s">
        <v>29</v>
      </c>
      <c r="C44" s="584"/>
      <c r="D44" s="584"/>
      <c r="E44" s="584"/>
      <c r="F44" s="584"/>
      <c r="N44" s="219"/>
      <c r="O44" s="219"/>
      <c r="P44" s="219"/>
      <c r="S44" s="31"/>
      <c r="T44" s="31"/>
      <c r="U44" s="31"/>
      <c r="V44" s="31"/>
      <c r="W44" s="31"/>
      <c r="X44" s="31"/>
      <c r="Y44" s="31"/>
      <c r="Z44" s="31"/>
      <c r="AB44" s="28"/>
      <c r="AG44" s="307" t="s">
        <v>52</v>
      </c>
      <c r="AH44" s="74" t="e">
        <f>VLOOKUP(Nom_service,#REF!,2)</f>
        <v>#REF!</v>
      </c>
      <c r="AI44" s="74" t="e">
        <f>VLOOKUP(Nom_service,#REF!,3)</f>
        <v>#REF!</v>
      </c>
      <c r="AJ44" s="74" t="e">
        <f>VLOOKUP(Nom_service,#REF!,4)</f>
        <v>#REF!</v>
      </c>
      <c r="AK44" s="74" t="e">
        <f>VLOOKUP(Nom_service,#REF!,5)</f>
        <v>#REF!</v>
      </c>
      <c r="AL44" s="74" t="e">
        <f>VLOOKUP(Nom_service,#REF!,5)</f>
        <v>#REF!</v>
      </c>
      <c r="AM44" s="74" t="e">
        <f>VLOOKUP(Nom_service,#REF!,6)</f>
        <v>#REF!</v>
      </c>
      <c r="AN44" s="74" t="e">
        <f>VLOOKUP(Nom_service,#REF!,7)</f>
        <v>#REF!</v>
      </c>
      <c r="AO44" s="74" t="e">
        <f>VLOOKUP(Nom_service,#REF!,8)</f>
        <v>#REF!</v>
      </c>
      <c r="AP44" s="74" t="e">
        <f>VLOOKUP(Nom_service,#REF!,9)</f>
        <v>#REF!</v>
      </c>
      <c r="AQ44" s="74" t="e">
        <f>VLOOKUP(Nom_service,#REF!,10)</f>
        <v>#REF!</v>
      </c>
    </row>
    <row r="45" spans="2:43" ht="9" customHeight="1">
      <c r="B45" s="311"/>
      <c r="C45" s="311"/>
      <c r="D45" s="311"/>
      <c r="E45" s="311"/>
      <c r="F45" s="311"/>
      <c r="N45" s="219"/>
      <c r="O45" s="219"/>
      <c r="P45" s="219"/>
      <c r="S45" s="31"/>
      <c r="T45" s="31"/>
      <c r="U45" s="31"/>
      <c r="V45" s="31"/>
      <c r="W45" s="31"/>
      <c r="X45" s="31"/>
      <c r="Y45" s="31"/>
      <c r="Z45" s="31"/>
      <c r="AB45" s="28"/>
      <c r="AH45" s="74"/>
      <c r="AI45" s="74"/>
      <c r="AJ45" s="74"/>
      <c r="AK45" s="74"/>
      <c r="AL45" s="74"/>
      <c r="AM45" s="74"/>
      <c r="AN45" s="74"/>
      <c r="AO45" s="74"/>
      <c r="AP45" s="74"/>
      <c r="AQ45" s="74"/>
    </row>
    <row r="46" spans="2:43" ht="18.75">
      <c r="B46" s="321" t="s">
        <v>650</v>
      </c>
      <c r="C46" s="306">
        <f>VLOOKUP(Nom_service,Juridique_Eau!$A$3:$AA$19,25,FALSE)</f>
        <v>1</v>
      </c>
      <c r="D46" s="46"/>
      <c r="E46" s="321" t="s">
        <v>361</v>
      </c>
      <c r="F46" s="522">
        <f>+AB4</f>
        <v>1.2999999999999999E-3</v>
      </c>
      <c r="T46" s="37"/>
      <c r="U46" s="37"/>
      <c r="V46" s="37"/>
      <c r="W46" s="37"/>
      <c r="X46" s="37"/>
      <c r="Y46" s="37"/>
      <c r="AB46" s="28"/>
      <c r="AG46" s="307" t="s">
        <v>53</v>
      </c>
      <c r="AH46" s="79" t="e">
        <f>VLOOKUP(Nom_service,#REF!,2)</f>
        <v>#REF!</v>
      </c>
      <c r="AI46" s="79" t="e">
        <f>VLOOKUP(Nom_service,#REF!,3)</f>
        <v>#REF!</v>
      </c>
      <c r="AJ46" s="79" t="e">
        <f>VLOOKUP(Nom_service,#REF!,4)</f>
        <v>#REF!</v>
      </c>
      <c r="AK46" s="79" t="e">
        <f>VLOOKUP(Nom_service,#REF!,5)</f>
        <v>#REF!</v>
      </c>
      <c r="AL46" s="79" t="e">
        <f>VLOOKUP(Nom_service,#REF!,6)</f>
        <v>#REF!</v>
      </c>
      <c r="AM46" s="79" t="e">
        <f>VLOOKUP(Nom_service,#REF!,7)</f>
        <v>#REF!</v>
      </c>
      <c r="AN46" s="79" t="e">
        <f>VLOOKUP(Nom_service,#REF!,8)</f>
        <v>#REF!</v>
      </c>
      <c r="AO46" s="79" t="e">
        <f>VLOOKUP(Nom_service,#REF!,9)</f>
        <v>#REF!</v>
      </c>
      <c r="AP46" s="79" t="e">
        <f>VLOOKUP(Nom_service,#REF!,10)</f>
        <v>#REF!</v>
      </c>
      <c r="AQ46" s="79" t="e">
        <f>VLOOKUP(Nom_service,#REF!,11)</f>
        <v>#REF!</v>
      </c>
    </row>
    <row r="47" spans="2:43" ht="18.75">
      <c r="D47" s="46"/>
      <c r="S47" s="38" t="s">
        <v>11</v>
      </c>
      <c r="T47" s="38"/>
      <c r="U47" s="39" t="e">
        <f>VLOOKUP(#REF!,#REF!,11)</f>
        <v>#REF!</v>
      </c>
      <c r="V47" s="37"/>
      <c r="W47" s="37"/>
      <c r="X47" s="37"/>
      <c r="Y47" s="37"/>
      <c r="AB47" s="40"/>
      <c r="AH47" s="78"/>
    </row>
    <row r="48" spans="2:43" ht="34.5">
      <c r="B48" s="117" t="s">
        <v>651</v>
      </c>
      <c r="C48" s="306">
        <f>VLOOKUP(Nom_service,Juridique_Eau!$A$3:$AA$18,24,FALSE)</f>
        <v>2</v>
      </c>
      <c r="D48" s="46"/>
      <c r="E48" s="321" t="s">
        <v>362</v>
      </c>
      <c r="F48" s="281">
        <f>+Z4</f>
        <v>7.35</v>
      </c>
      <c r="N48" s="320"/>
      <c r="O48" s="320"/>
      <c r="P48" s="320"/>
      <c r="AB48" s="40"/>
    </row>
    <row r="49" spans="2:28" ht="20.25">
      <c r="N49" s="320"/>
      <c r="O49" s="320"/>
      <c r="P49" s="320"/>
      <c r="AB49" s="40"/>
    </row>
    <row r="50" spans="2:28" ht="18.75">
      <c r="B50" s="117" t="s">
        <v>31</v>
      </c>
      <c r="C50" s="573" t="str">
        <f>VLOOKUP(Nom_service,Juridique_Eau!$A$3:$AE$18,31,FALSE)</f>
        <v>aucun  commentaire</v>
      </c>
      <c r="D50" s="573">
        <f>VLOOKUP(Nom_service,Juridique_Eau!$A$3:$AA$17,24)</f>
        <v>2</v>
      </c>
      <c r="E50" s="573">
        <f>VLOOKUP(Nom_service,Juridique_Eau!$A$3:$AA$17,24)</f>
        <v>2</v>
      </c>
      <c r="F50" s="573">
        <f>VLOOKUP(Nom_service,Juridique_Eau!$A$3:$AA$17,24)</f>
        <v>2</v>
      </c>
      <c r="S50" s="37" t="s">
        <v>20</v>
      </c>
      <c r="T50" s="37"/>
      <c r="U50" s="307">
        <f>C10/C16</f>
        <v>35.758208955223878</v>
      </c>
      <c r="AB50" s="40"/>
    </row>
    <row r="51" spans="2:28" ht="18.75">
      <c r="C51" s="573">
        <f>VLOOKUP(Nom_service,Juridique_Eau!$A$3:$AA$17,24)</f>
        <v>2</v>
      </c>
      <c r="D51" s="573">
        <f>VLOOKUP(Nom_service,Juridique_Eau!$A$3:$AA$17,24)</f>
        <v>2</v>
      </c>
      <c r="E51" s="573">
        <f>VLOOKUP(Nom_service,Juridique_Eau!$A$3:$AA$17,24)</f>
        <v>2</v>
      </c>
      <c r="F51" s="573">
        <f>VLOOKUP(Nom_service,Juridique_Eau!$A$3:$AA$17,24)</f>
        <v>2</v>
      </c>
      <c r="S51" s="37"/>
      <c r="T51" s="37"/>
      <c r="AB51" s="40"/>
    </row>
    <row r="52" spans="2:28" ht="18" customHeight="1">
      <c r="N52" s="65"/>
      <c r="O52" s="65"/>
      <c r="P52" s="65"/>
      <c r="AB52" s="28"/>
    </row>
    <row r="53" spans="2:28" ht="18" customHeight="1">
      <c r="B53" s="567" t="s">
        <v>204</v>
      </c>
      <c r="C53" s="567"/>
      <c r="D53" s="567"/>
      <c r="E53" s="567"/>
      <c r="F53" s="567"/>
      <c r="N53" s="65"/>
      <c r="O53" s="65"/>
      <c r="P53" s="65"/>
      <c r="AB53" s="28"/>
    </row>
    <row r="54" spans="2:28" ht="20.25" customHeight="1">
      <c r="B54" s="488" t="s">
        <v>291</v>
      </c>
      <c r="C54" s="585" t="str">
        <f>VLOOKUP(Nom_service,Juridique_Eau!$A$2:$AG$18,29,FALSE)</f>
        <v>aucun commentaire</v>
      </c>
      <c r="D54" s="585"/>
      <c r="E54" s="585"/>
      <c r="F54" s="585"/>
      <c r="N54" s="218"/>
      <c r="O54" s="218"/>
      <c r="P54" s="218"/>
      <c r="AB54" s="40"/>
    </row>
    <row r="55" spans="2:28" ht="33.75" customHeight="1">
      <c r="C55" s="585"/>
      <c r="D55" s="585"/>
      <c r="E55" s="585"/>
      <c r="F55" s="585"/>
      <c r="N55" s="65"/>
      <c r="O55" s="65"/>
      <c r="P55" s="65"/>
      <c r="AB55" s="40"/>
    </row>
    <row r="56" spans="2:28" ht="17.25" customHeight="1">
      <c r="B56" s="336" t="s">
        <v>46</v>
      </c>
      <c r="C56" s="336"/>
      <c r="D56" s="28"/>
      <c r="E56" s="466" t="s">
        <v>160</v>
      </c>
      <c r="F56" s="466"/>
      <c r="N56" s="65"/>
      <c r="O56" s="65"/>
      <c r="P56" s="65"/>
      <c r="AB56" s="28"/>
    </row>
    <row r="57" spans="2:28" ht="17.25" customHeight="1">
      <c r="B57" s="72" t="s">
        <v>49</v>
      </c>
      <c r="C57" s="270">
        <f>VLOOKUP(Nom_service,Juridique_Eau!$A$2:$Y$18,14,FALSE)</f>
        <v>39.03</v>
      </c>
      <c r="D57" s="28"/>
      <c r="E57" s="72" t="s">
        <v>701</v>
      </c>
      <c r="F57" s="495">
        <f>VLOOKUP(Nom_service,Juridique_Eau!$A$2:$AI$18,35,FALSE)</f>
        <v>9.6777083333333319E-2</v>
      </c>
      <c r="AB57" s="28"/>
    </row>
    <row r="58" spans="2:28" ht="17.25">
      <c r="B58" s="73" t="s">
        <v>50</v>
      </c>
      <c r="C58" s="512">
        <f>VLOOKUP(Nom_service,Juridique_Eau!$A$2:$Y$18,15,FALSE)</f>
        <v>0.82933333333333326</v>
      </c>
      <c r="D58" s="28"/>
      <c r="E58" s="471"/>
      <c r="F58" s="472"/>
      <c r="AB58" s="28"/>
    </row>
    <row r="59" spans="2:28" ht="17.25" customHeight="1">
      <c r="B59" s="336" t="s">
        <v>47</v>
      </c>
      <c r="C59" s="336"/>
      <c r="D59" s="28"/>
      <c r="E59" s="471"/>
      <c r="F59" s="472"/>
      <c r="I59" s="276"/>
      <c r="J59" s="276"/>
      <c r="K59" s="276"/>
      <c r="L59" s="276"/>
      <c r="M59" s="276"/>
      <c r="N59" s="276"/>
      <c r="O59" s="276"/>
      <c r="P59" s="276"/>
      <c r="AB59" s="28"/>
    </row>
    <row r="60" spans="2:28" ht="19.5" customHeight="1">
      <c r="B60" s="73" t="s">
        <v>290</v>
      </c>
      <c r="C60" s="270">
        <f>VLOOKUP(Nom_service,Juridique_Eau!$A$2:$Y$18,16,FALSE)</f>
        <v>0</v>
      </c>
      <c r="D60" s="28"/>
      <c r="E60" s="568" t="s">
        <v>363</v>
      </c>
      <c r="F60" s="569">
        <f>VLOOKUP(Nom_service,Juridique_Eau!$A$2:$Y$18,22,FALSE)</f>
        <v>1.8563604166666665</v>
      </c>
      <c r="H60" s="227"/>
      <c r="I60" s="276"/>
      <c r="J60" s="276"/>
      <c r="K60" s="276"/>
      <c r="L60" s="276"/>
      <c r="M60" s="276"/>
      <c r="N60" s="276"/>
      <c r="O60" s="276"/>
      <c r="P60" s="276"/>
      <c r="T60" s="38"/>
      <c r="U60" s="38"/>
      <c r="V60" s="38"/>
      <c r="W60" s="37"/>
      <c r="X60" s="37"/>
      <c r="Z60" s="37"/>
      <c r="AA60" s="37"/>
      <c r="AB60" s="28"/>
    </row>
    <row r="61" spans="2:28" ht="18.75">
      <c r="B61" s="73" t="s">
        <v>51</v>
      </c>
      <c r="C61" s="512">
        <f>VLOOKUP(Nom_service,Juridique_Eau!$A$2:$Y$18,17,FALSE)</f>
        <v>0.27</v>
      </c>
      <c r="D61" s="28"/>
      <c r="E61" s="568"/>
      <c r="F61" s="569"/>
      <c r="H61" s="227"/>
      <c r="I61" s="276"/>
      <c r="J61" s="276"/>
      <c r="K61" s="276"/>
      <c r="L61" s="276"/>
      <c r="M61" s="276"/>
      <c r="N61" s="276"/>
      <c r="O61" s="276"/>
      <c r="P61" s="276"/>
      <c r="T61" s="38"/>
      <c r="U61" s="38"/>
      <c r="V61" s="38"/>
      <c r="W61" s="37"/>
      <c r="X61" s="37"/>
      <c r="Z61" s="37"/>
      <c r="AA61" s="37"/>
      <c r="AB61" s="28"/>
    </row>
    <row r="62" spans="2:28" ht="18.75">
      <c r="B62" s="336" t="s">
        <v>191</v>
      </c>
      <c r="C62" s="336"/>
      <c r="D62" s="28"/>
      <c r="E62" s="568"/>
      <c r="F62" s="569"/>
      <c r="H62" s="227"/>
      <c r="I62" s="276"/>
      <c r="J62" s="276"/>
      <c r="K62" s="276"/>
      <c r="L62" s="276"/>
      <c r="M62" s="276"/>
      <c r="N62" s="276"/>
      <c r="O62" s="276"/>
      <c r="P62" s="276"/>
      <c r="T62" s="38"/>
      <c r="U62" s="38"/>
      <c r="V62" s="38"/>
      <c r="W62" s="37"/>
      <c r="X62" s="37"/>
      <c r="Z62" s="37"/>
      <c r="AA62" s="37"/>
      <c r="AB62" s="28"/>
    </row>
    <row r="63" spans="2:28" ht="30">
      <c r="B63" s="499" t="s">
        <v>324</v>
      </c>
      <c r="C63" s="513">
        <f>VLOOKUP(Nom_service,Juridique_Eau!$A$2:$AG$18,32,FALSE)</f>
        <v>4.4999999999999998E-2</v>
      </c>
      <c r="D63" s="28"/>
      <c r="E63" s="28"/>
      <c r="F63" s="28"/>
      <c r="H63" s="227"/>
      <c r="I63" s="276"/>
      <c r="J63" s="276"/>
      <c r="K63" s="276"/>
      <c r="L63" s="276"/>
      <c r="M63" s="276"/>
      <c r="N63" s="276"/>
      <c r="O63" s="276"/>
      <c r="P63" s="276"/>
      <c r="T63" s="38"/>
      <c r="U63" s="38"/>
      <c r="V63" s="38"/>
      <c r="W63" s="37"/>
      <c r="X63" s="37"/>
      <c r="Z63" s="37"/>
      <c r="AA63" s="37"/>
      <c r="AB63" s="28"/>
    </row>
    <row r="64" spans="2:28" ht="18.75">
      <c r="B64" s="340" t="s">
        <v>325</v>
      </c>
      <c r="C64" s="513">
        <f>VLOOKUP(Nom_service,Juridique_Eau!$A$2:$AG$18,33,FALSE)</f>
        <v>0.28999999999999998</v>
      </c>
      <c r="D64" s="120"/>
      <c r="E64" s="120"/>
      <c r="F64" s="120"/>
      <c r="H64" s="227"/>
      <c r="I64" s="276"/>
      <c r="J64" s="276"/>
      <c r="K64" s="276"/>
      <c r="L64" s="276"/>
      <c r="M64" s="276"/>
      <c r="N64" s="276"/>
      <c r="O64" s="276"/>
      <c r="P64" s="276"/>
      <c r="T64" s="38"/>
      <c r="U64" s="38"/>
      <c r="V64" s="38"/>
      <c r="W64" s="37"/>
      <c r="X64" s="37"/>
      <c r="Z64" s="37"/>
      <c r="AA64" s="37"/>
      <c r="AB64" s="28"/>
    </row>
    <row r="65" spans="2:28" ht="35.25" customHeight="1">
      <c r="B65" s="567"/>
      <c r="C65" s="567"/>
      <c r="D65" s="567"/>
      <c r="E65" s="567"/>
      <c r="F65" s="567"/>
      <c r="G65" s="567"/>
      <c r="H65" s="567"/>
      <c r="I65" s="320"/>
      <c r="J65" s="320"/>
      <c r="K65" s="320"/>
      <c r="L65" s="320"/>
      <c r="M65" s="320"/>
      <c r="N65" s="320"/>
      <c r="O65" s="320"/>
      <c r="P65" s="320"/>
      <c r="T65" s="38"/>
      <c r="U65" s="38"/>
      <c r="V65" s="38"/>
      <c r="W65" s="37"/>
      <c r="X65" s="37"/>
      <c r="Z65" s="37"/>
      <c r="AA65" s="37"/>
      <c r="AB65" s="28"/>
    </row>
    <row r="66" spans="2:28" ht="28.5">
      <c r="B66" s="77"/>
      <c r="C66" s="77"/>
      <c r="D66" s="77"/>
      <c r="E66" s="77"/>
      <c r="F66" s="77"/>
      <c r="Q66" s="77"/>
      <c r="R66" s="77"/>
      <c r="S66" s="77"/>
      <c r="T66" s="77"/>
      <c r="U66" s="38"/>
      <c r="V66" s="38"/>
      <c r="W66" s="37"/>
      <c r="X66" s="37"/>
      <c r="Z66" s="37"/>
      <c r="AA66" s="37"/>
      <c r="AB66" s="28"/>
    </row>
    <row r="67" spans="2:28" ht="28.5">
      <c r="B67" s="77"/>
      <c r="C67" s="77"/>
      <c r="D67" s="77"/>
      <c r="E67" s="77"/>
      <c r="F67" s="77"/>
      <c r="Q67" s="77"/>
      <c r="R67" s="77"/>
      <c r="S67" s="77"/>
      <c r="T67" s="77"/>
      <c r="W67" s="37"/>
      <c r="X67" s="37"/>
      <c r="Z67" s="37"/>
      <c r="AA67" s="37"/>
      <c r="AB67" s="28"/>
    </row>
    <row r="68" spans="2:28" ht="20.25">
      <c r="B68" s="75"/>
      <c r="C68" s="75"/>
      <c r="D68" s="75"/>
      <c r="E68" s="75"/>
      <c r="F68" s="75"/>
      <c r="Q68" s="75"/>
      <c r="R68" s="71"/>
      <c r="S68" s="71"/>
    </row>
    <row r="71" spans="2:28" ht="17.25">
      <c r="G71" s="323"/>
    </row>
    <row r="72" spans="2:28" ht="17.25">
      <c r="D72" s="41"/>
      <c r="E72" s="41"/>
      <c r="F72" s="41"/>
    </row>
    <row r="73" spans="2:28" ht="17.25">
      <c r="D73" s="41"/>
      <c r="E73" s="41"/>
      <c r="F73" s="41"/>
    </row>
    <row r="74" spans="2:28" ht="17.25" outlineLevel="1">
      <c r="D74" s="41"/>
      <c r="E74" s="41"/>
      <c r="F74" s="41"/>
    </row>
    <row r="75" spans="2:28" ht="17.25" outlineLevel="1">
      <c r="D75" s="41"/>
      <c r="E75" s="41"/>
      <c r="F75" s="41"/>
    </row>
    <row r="76" spans="2:28" ht="17.25" outlineLevel="1">
      <c r="B76" s="41"/>
      <c r="C76" s="41"/>
      <c r="D76" s="41"/>
      <c r="E76" s="41"/>
      <c r="F76" s="41"/>
    </row>
    <row r="77" spans="2:28" ht="17.25" outlineLevel="1">
      <c r="B77" s="41"/>
      <c r="C77" s="41"/>
      <c r="D77" s="41"/>
      <c r="E77" s="41"/>
      <c r="F77" s="41"/>
    </row>
    <row r="78" spans="2:28" ht="17.25" outlineLevel="1">
      <c r="B78" s="41"/>
      <c r="C78" s="41"/>
      <c r="D78" s="41"/>
      <c r="E78" s="41"/>
      <c r="F78" s="41"/>
    </row>
    <row r="79" spans="2:28" outlineLevel="1"/>
    <row r="80" spans="2:28" ht="17.25" outlineLevel="1">
      <c r="B80" s="41"/>
      <c r="C80" s="41"/>
      <c r="D80" s="41"/>
      <c r="E80" s="41"/>
      <c r="F80" s="41"/>
    </row>
    <row r="81" spans="2:16" ht="17.25" outlineLevel="1">
      <c r="B81" s="41"/>
      <c r="C81" s="41"/>
      <c r="D81" s="41"/>
      <c r="E81" s="41"/>
      <c r="F81" s="41"/>
    </row>
    <row r="82" spans="2:16" ht="30.75" outlineLevel="1">
      <c r="B82" s="42"/>
      <c r="C82" s="42"/>
      <c r="D82" s="42"/>
      <c r="E82" s="42"/>
      <c r="F82" s="42"/>
    </row>
    <row r="83" spans="2:16" ht="30.75" outlineLevel="1">
      <c r="B83" s="42"/>
      <c r="C83" s="42"/>
      <c r="D83" s="42"/>
      <c r="E83" s="42"/>
      <c r="F83" s="42"/>
      <c r="G83" s="567"/>
      <c r="H83" s="567"/>
      <c r="I83" s="320"/>
      <c r="J83" s="320"/>
      <c r="K83" s="320"/>
      <c r="L83" s="320"/>
      <c r="M83" s="320"/>
      <c r="N83" s="320"/>
      <c r="O83" s="320"/>
      <c r="P83" s="320"/>
    </row>
    <row r="84" spans="2:16" ht="30.75" outlineLevel="1">
      <c r="B84" s="42"/>
      <c r="C84" s="42"/>
      <c r="D84" s="42"/>
      <c r="E84" s="42"/>
      <c r="F84" s="42"/>
    </row>
    <row r="85" spans="2:16" ht="30.75" outlineLevel="1">
      <c r="B85" s="42"/>
      <c r="C85" s="42"/>
      <c r="D85" s="42"/>
      <c r="E85" s="42"/>
      <c r="F85" s="42"/>
    </row>
    <row r="86" spans="2:16" ht="30.75" outlineLevel="1">
      <c r="B86" s="43"/>
      <c r="C86" s="42"/>
      <c r="D86" s="42"/>
      <c r="E86" s="42"/>
      <c r="F86" s="42"/>
    </row>
    <row r="87" spans="2:16" outlineLevel="1"/>
    <row r="88" spans="2:16" outlineLevel="1"/>
    <row r="89" spans="2:16" outlineLevel="1"/>
    <row r="90" spans="2:16" outlineLevel="1"/>
    <row r="91" spans="2:16" outlineLevel="1"/>
    <row r="92" spans="2:16" outlineLevel="1"/>
    <row r="93" spans="2:16" outlineLevel="1"/>
    <row r="94" spans="2:16" outlineLevel="1"/>
    <row r="95" spans="2:16" outlineLevel="1"/>
    <row r="96" spans="2:16" outlineLevel="1"/>
    <row r="97" spans="2:6" ht="30.75" outlineLevel="1">
      <c r="B97" s="43"/>
      <c r="C97" s="42"/>
      <c r="D97" s="42"/>
      <c r="E97" s="42"/>
      <c r="F97" s="42"/>
    </row>
    <row r="98" spans="2:6" ht="30.75" outlineLevel="1">
      <c r="B98" s="43"/>
      <c r="C98" s="43"/>
      <c r="D98" s="43"/>
      <c r="E98" s="43"/>
      <c r="F98" s="43"/>
    </row>
    <row r="99" spans="2:6" ht="30.75" outlineLevel="1">
      <c r="B99" s="43"/>
      <c r="C99" s="43"/>
      <c r="D99" s="43"/>
      <c r="E99" s="43"/>
      <c r="F99" s="43"/>
    </row>
    <row r="100" spans="2:6" ht="30.75" outlineLevel="1">
      <c r="C100" s="43"/>
      <c r="D100" s="43"/>
      <c r="E100" s="43"/>
      <c r="F100" s="43"/>
    </row>
    <row r="101" spans="2:6" ht="30.75" outlineLevel="1">
      <c r="C101" s="43"/>
      <c r="D101" s="43"/>
      <c r="E101" s="43"/>
      <c r="F101" s="43"/>
    </row>
    <row r="121" ht="13.5" customHeight="1"/>
    <row r="122" ht="13.5" customHeight="1"/>
    <row r="123" ht="13.5" customHeight="1"/>
    <row r="124" ht="13.5" customHeight="1"/>
    <row r="125" ht="13.5" customHeight="1"/>
    <row r="126" ht="13.5" customHeight="1"/>
    <row r="127" ht="13.5" customHeight="1"/>
    <row r="136" spans="7:16" ht="16.5">
      <c r="H136" s="80"/>
      <c r="I136" s="80"/>
      <c r="J136" s="80"/>
      <c r="K136" s="80"/>
      <c r="L136" s="80"/>
      <c r="M136" s="80"/>
      <c r="N136" s="80"/>
      <c r="O136" s="80"/>
      <c r="P136" s="80"/>
    </row>
    <row r="137" spans="7:16" ht="16.5">
      <c r="G137" s="80"/>
      <c r="H137" s="80"/>
      <c r="I137" s="80"/>
      <c r="J137" s="80"/>
      <c r="K137" s="80"/>
      <c r="L137" s="80"/>
      <c r="M137" s="80"/>
      <c r="N137" s="80"/>
      <c r="O137" s="80"/>
      <c r="P137" s="80"/>
    </row>
    <row r="138" spans="7:16" ht="16.5">
      <c r="G138" s="80"/>
      <c r="H138" s="80"/>
      <c r="I138" s="80"/>
      <c r="J138" s="80"/>
      <c r="K138" s="80"/>
      <c r="L138" s="80"/>
      <c r="M138" s="80"/>
      <c r="N138" s="80"/>
      <c r="O138" s="80"/>
      <c r="P138" s="80"/>
    </row>
    <row r="139" spans="7:16" ht="16.5">
      <c r="G139" s="80"/>
      <c r="H139" s="80"/>
      <c r="I139" s="80"/>
      <c r="J139" s="80"/>
      <c r="K139" s="80"/>
      <c r="L139" s="80"/>
      <c r="M139" s="80"/>
      <c r="N139" s="80"/>
      <c r="O139" s="80"/>
      <c r="P139" s="80"/>
    </row>
    <row r="140" spans="7:16" ht="16.5">
      <c r="G140" s="130" t="s">
        <v>54</v>
      </c>
      <c r="H140" s="80"/>
      <c r="I140" s="80"/>
      <c r="J140" s="80"/>
      <c r="K140" s="80"/>
      <c r="L140" s="80"/>
      <c r="M140" s="80"/>
      <c r="N140" s="80"/>
      <c r="O140" s="80"/>
      <c r="P140" s="80"/>
    </row>
    <row r="141" spans="7:16" ht="16.5">
      <c r="G141" s="81" t="e">
        <f>VLOOKUP(Nom_service,#REF!,12)</f>
        <v>#REF!</v>
      </c>
      <c r="H141" s="81"/>
      <c r="I141" s="81"/>
      <c r="J141" s="81"/>
      <c r="K141" s="81"/>
      <c r="L141" s="81"/>
      <c r="M141" s="81"/>
      <c r="N141" s="81"/>
      <c r="O141" s="81"/>
      <c r="P141" s="81"/>
    </row>
    <row r="142" spans="7:16" ht="16.5">
      <c r="G142" s="81"/>
      <c r="H142" s="81"/>
      <c r="I142" s="81"/>
      <c r="J142" s="81"/>
      <c r="K142" s="81"/>
      <c r="L142" s="81"/>
      <c r="M142" s="81"/>
      <c r="N142" s="81"/>
      <c r="O142" s="81"/>
      <c r="P142" s="81"/>
    </row>
  </sheetData>
  <mergeCells count="39">
    <mergeCell ref="H15:J15"/>
    <mergeCell ref="H16:J16"/>
    <mergeCell ref="H17:J17"/>
    <mergeCell ref="H18:J18"/>
    <mergeCell ref="B3:F4"/>
    <mergeCell ref="G3:M4"/>
    <mergeCell ref="G5:M5"/>
    <mergeCell ref="H13:L13"/>
    <mergeCell ref="B5:E5"/>
    <mergeCell ref="G83:H83"/>
    <mergeCell ref="B65:F65"/>
    <mergeCell ref="H28:M28"/>
    <mergeCell ref="C25:C28"/>
    <mergeCell ref="H25:M25"/>
    <mergeCell ref="H26:M26"/>
    <mergeCell ref="I32:J32"/>
    <mergeCell ref="C40:C42"/>
    <mergeCell ref="G30:M30"/>
    <mergeCell ref="I33:M35"/>
    <mergeCell ref="B44:F44"/>
    <mergeCell ref="C54:F55"/>
    <mergeCell ref="G36:M36"/>
    <mergeCell ref="I38:M38"/>
    <mergeCell ref="I39:M39"/>
    <mergeCell ref="H19:J19"/>
    <mergeCell ref="G65:H65"/>
    <mergeCell ref="E60:E62"/>
    <mergeCell ref="F60:F62"/>
    <mergeCell ref="H27:M27"/>
    <mergeCell ref="I40:M40"/>
    <mergeCell ref="K32:L32"/>
    <mergeCell ref="C50:F51"/>
    <mergeCell ref="B53:F53"/>
    <mergeCell ref="E21:E22"/>
    <mergeCell ref="F21:F24"/>
    <mergeCell ref="G21:M21"/>
    <mergeCell ref="H23:M23"/>
    <mergeCell ref="H24:M24"/>
    <mergeCell ref="B30:E30"/>
  </mergeCells>
  <conditionalFormatting sqref="J8:J9 H8:I8 I9 I14 K14:K15 H12:J12">
    <cfRule type="cellIs" dxfId="18" priority="10" operator="lessThan">
      <formula>0</formula>
    </cfRule>
  </conditionalFormatting>
  <conditionalFormatting sqref="H9">
    <cfRule type="cellIs" dxfId="17" priority="8" operator="lessThan">
      <formula>0</formula>
    </cfRule>
  </conditionalFormatting>
  <conditionalFormatting sqref="H13:H14">
    <cfRule type="cellIs" dxfId="16" priority="9" operator="lessThan">
      <formula>0</formula>
    </cfRule>
  </conditionalFormatting>
  <conditionalFormatting sqref="H10:I10">
    <cfRule type="cellIs" dxfId="15" priority="3" operator="lessThan">
      <formula>0</formula>
    </cfRule>
  </conditionalFormatting>
  <conditionalFormatting sqref="J10">
    <cfRule type="cellIs" dxfId="14" priority="2" operator="lessThan">
      <formula>0</formula>
    </cfRule>
  </conditionalFormatting>
  <conditionalFormatting sqref="H15:H19">
    <cfRule type="cellIs" dxfId="13" priority="1" operator="lessThan">
      <formula>0</formula>
    </cfRule>
  </conditionalFormatting>
  <printOptions horizontalCentered="1"/>
  <pageMargins left="0.19685039370078741" right="0.19685039370078741" top="0.39370078740157483" bottom="0.39370078740157483" header="0.19685039370078741" footer="0.19685039370078741"/>
  <pageSetup paperSize="9" scale="54" orientation="portrait" r:id="rId1"/>
  <rowBreaks count="1" manualBreakCount="1">
    <brk id="64" min="1" max="8" man="1"/>
  </rowBreaks>
  <colBreaks count="2" manualBreakCount="2">
    <brk id="6" min="2" max="60" man="1"/>
    <brk id="17" min="2" max="116" man="1"/>
  </colBreaks>
  <drawing r:id="rId2"/>
  <legacyDrawing r:id="rId3"/>
  <mc:AlternateContent xmlns:mc="http://schemas.openxmlformats.org/markup-compatibility/2006">
    <mc:Choice Requires="x14">
      <controls>
        <mc:AlternateContent xmlns:mc="http://schemas.openxmlformats.org/markup-compatibility/2006">
          <mc:Choice Requires="x14">
            <control shapeId="205825" r:id="rId4" name="Button 1">
              <controlPr defaultSize="0" print="0" autoFill="0" autoPict="0" macro="[0]!Imprimer" altText="Imprimer PDF">
                <anchor moveWithCells="1" sizeWithCells="1">
                  <from>
                    <xdr:col>2</xdr:col>
                    <xdr:colOff>1504950</xdr:colOff>
                    <xdr:row>0</xdr:row>
                    <xdr:rowOff>200025</xdr:rowOff>
                  </from>
                  <to>
                    <xdr:col>4</xdr:col>
                    <xdr:colOff>304800</xdr:colOff>
                    <xdr:row>1</xdr:row>
                    <xdr:rowOff>57150</xdr:rowOff>
                  </to>
                </anchor>
              </controlPr>
            </control>
          </mc:Choice>
        </mc:AlternateContent>
        <mc:AlternateContent xmlns:mc="http://schemas.openxmlformats.org/markup-compatibility/2006">
          <mc:Choice Requires="x14">
            <control shapeId="205826" r:id="rId5" name="Button 2">
              <controlPr defaultSize="0" print="0" autoFill="0" autoPict="0" macro="[0]!image">
                <anchor moveWithCells="1" sizeWithCells="1">
                  <from>
                    <xdr:col>13</xdr:col>
                    <xdr:colOff>0</xdr:colOff>
                    <xdr:row>66</xdr:row>
                    <xdr:rowOff>95250</xdr:rowOff>
                  </from>
                  <to>
                    <xdr:col>13</xdr:col>
                    <xdr:colOff>0</xdr:colOff>
                    <xdr:row>71</xdr:row>
                    <xdr:rowOff>57150</xdr:rowOff>
                  </to>
                </anchor>
              </controlPr>
            </control>
          </mc:Choice>
        </mc:AlternateContent>
        <mc:AlternateContent xmlns:mc="http://schemas.openxmlformats.org/markup-compatibility/2006">
          <mc:Choice Requires="x14">
            <control shapeId="205827" r:id="rId6" name="Button 3">
              <controlPr defaultSize="0" print="0" autoFill="0" autoPict="0" macro="[0]!selection_commune">
                <anchor moveWithCells="1" sizeWithCells="1">
                  <from>
                    <xdr:col>13</xdr:col>
                    <xdr:colOff>0</xdr:colOff>
                    <xdr:row>74</xdr:row>
                    <xdr:rowOff>209550</xdr:rowOff>
                  </from>
                  <to>
                    <xdr:col>13</xdr:col>
                    <xdr:colOff>0</xdr:colOff>
                    <xdr:row>79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Title="Nom_Service">
          <x14:formula1>
            <xm:f>Liste_services!$A$2:$A$46</xm:f>
          </x14:formula1>
          <xm:sqref>B3:F4</xm:sqref>
        </x14:dataValidation>
        <x14:dataValidation type="list" allowBlank="1" showInputMessage="1" showErrorMessage="1" promptTitle="Nom_Service">
          <x14:formula1>
            <xm:f>Liste_services!#REF!</xm:f>
          </x14:formula1>
          <xm:sqref>D1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2">
    <tabColor theme="2" tint="-0.249977111117893"/>
  </sheetPr>
  <dimension ref="B1:AO146"/>
  <sheetViews>
    <sheetView showGridLines="0" view="pageBreakPreview" zoomScale="60" zoomScaleNormal="55" zoomScalePageLayoutView="25" workbookViewId="0">
      <selection activeCell="F11" sqref="F11"/>
    </sheetView>
  </sheetViews>
  <sheetFormatPr baseColWidth="10" defaultColWidth="11.42578125" defaultRowHeight="13.5" outlineLevelRow="1"/>
  <cols>
    <col min="1" max="1" width="11.42578125" style="307"/>
    <col min="2" max="2" width="37" style="307" customWidth="1"/>
    <col min="3" max="3" width="39" style="307" customWidth="1"/>
    <col min="4" max="4" width="5.28515625" style="307" customWidth="1"/>
    <col min="5" max="5" width="40.140625" style="307" customWidth="1"/>
    <col min="6" max="6" width="51.85546875" style="307" customWidth="1"/>
    <col min="7" max="7" width="62.7109375" style="307" customWidth="1"/>
    <col min="8" max="8" width="26" style="307" customWidth="1"/>
    <col min="9" max="11" width="23.42578125" style="307" customWidth="1"/>
    <col min="12" max="14" width="8.5703125" style="307" hidden="1" customWidth="1"/>
    <col min="15" max="15" width="0" style="307" hidden="1" customWidth="1"/>
    <col min="16" max="18" width="11.42578125" style="307" hidden="1" customWidth="1"/>
    <col min="19" max="19" width="24.42578125" style="307" hidden="1" customWidth="1"/>
    <col min="20" max="26" width="19.42578125" style="307" hidden="1" customWidth="1"/>
    <col min="27" max="27" width="25" style="307" hidden="1" customWidth="1"/>
    <col min="28" max="28" width="19.42578125" style="307" hidden="1" customWidth="1"/>
    <col min="29" max="29" width="11.42578125" style="307" hidden="1" customWidth="1"/>
    <col min="30" max="31" width="0" style="307" hidden="1" customWidth="1"/>
    <col min="32" max="41" width="12.7109375" style="307" hidden="1" customWidth="1"/>
    <col min="42" max="16384" width="11.42578125" style="307"/>
  </cols>
  <sheetData>
    <row r="1" spans="2:28" ht="34.5">
      <c r="B1" s="4" t="s">
        <v>36</v>
      </c>
      <c r="D1" s="5"/>
      <c r="R1" s="307" t="s">
        <v>12</v>
      </c>
    </row>
    <row r="3" spans="2:28" ht="24.75" customHeight="1">
      <c r="B3" s="586" t="s">
        <v>242</v>
      </c>
      <c r="C3" s="586"/>
      <c r="D3" s="586"/>
      <c r="E3" s="586"/>
      <c r="F3" s="586"/>
      <c r="G3" s="586" t="str">
        <f>+Nom_service</f>
        <v>Roquebrune</v>
      </c>
      <c r="H3" s="586"/>
      <c r="I3" s="586"/>
      <c r="J3" s="586"/>
      <c r="K3" s="586"/>
      <c r="L3" s="275"/>
      <c r="M3" s="275"/>
      <c r="N3" s="275"/>
      <c r="P3" s="6"/>
      <c r="Q3" s="6"/>
      <c r="R3" s="6"/>
      <c r="S3" s="7" t="s">
        <v>14</v>
      </c>
      <c r="T3" s="7" t="s">
        <v>15</v>
      </c>
      <c r="U3" s="7" t="s">
        <v>16</v>
      </c>
      <c r="V3" s="7" t="s">
        <v>28</v>
      </c>
      <c r="W3" s="7" t="s">
        <v>17</v>
      </c>
      <c r="X3" s="7" t="s">
        <v>18</v>
      </c>
      <c r="Y3" s="8" t="s">
        <v>25</v>
      </c>
      <c r="Z3" s="7" t="s">
        <v>19</v>
      </c>
      <c r="AA3" s="7" t="s">
        <v>9</v>
      </c>
      <c r="AB3" s="7" t="s">
        <v>8</v>
      </c>
    </row>
    <row r="4" spans="2:28" ht="9.75" customHeight="1">
      <c r="B4" s="586"/>
      <c r="C4" s="586"/>
      <c r="D4" s="586"/>
      <c r="E4" s="586"/>
      <c r="F4" s="586"/>
      <c r="G4" s="586"/>
      <c r="H4" s="586"/>
      <c r="I4" s="586"/>
      <c r="J4" s="586"/>
      <c r="K4" s="586"/>
      <c r="L4" s="275"/>
      <c r="M4" s="275"/>
      <c r="N4" s="275"/>
      <c r="P4" s="9" t="s">
        <v>23</v>
      </c>
      <c r="Q4" s="9"/>
      <c r="R4" s="9"/>
      <c r="S4" s="10">
        <f>VLOOKUP(Nom_service,Eau_technique!$A$4:$BA$86,29)/100</f>
        <v>0</v>
      </c>
      <c r="T4" s="10">
        <f>VLOOKUP(Nom_service,Eau_technique!$A$4:$BA$86,30)/100</f>
        <v>0</v>
      </c>
      <c r="U4" s="11">
        <f>VLOOKUP(Nom_service,Eau_technique!$A$4:$BA$86,26)</f>
        <v>0</v>
      </c>
      <c r="V4" s="96" t="str">
        <f>VLOOKUP(Nom_service,Eau_technique!$A$4:$BA$86,39)</f>
        <v>-</v>
      </c>
      <c r="W4" s="10" t="str">
        <f>VLOOKUP(Nom_service,Eau_technique!$A$4:$BA$86,42)</f>
        <v>-</v>
      </c>
      <c r="X4" s="10">
        <f>VLOOKUP(Nom_service,Eau_technique!$A$4:$BA$86,32)</f>
        <v>0</v>
      </c>
      <c r="Y4" s="123">
        <f>VLOOKUP(Nom_service,Juridique_Eau!$A$3:$AA$14,22)</f>
        <v>0</v>
      </c>
      <c r="Z4" s="10">
        <f>VLOOKUP(Nom_service,Juridique_Eau!$A$3:$AA$14,26)</f>
        <v>0</v>
      </c>
      <c r="AA4" s="10" t="str">
        <f>VLOOKUP(Nom_service,Eau_technique!$A$4:$BA$86,40)</f>
        <v>-</v>
      </c>
      <c r="AB4" s="96" t="str">
        <f>VLOOKUP(Nom_service,Eau_technique!$A$4:$BA$86,41)</f>
        <v>-</v>
      </c>
    </row>
    <row r="5" spans="2:28" ht="20.25">
      <c r="B5" s="590" t="s">
        <v>198</v>
      </c>
      <c r="C5" s="590"/>
      <c r="D5" s="590"/>
      <c r="E5" s="590"/>
      <c r="F5" s="534" t="str">
        <f>VLOOKUP(Nom_service,'Assainissement_technique '!$A$2:$AZ$17,52,FALSE)</f>
        <v>Exercice 2015</v>
      </c>
      <c r="G5" s="592" t="s">
        <v>135</v>
      </c>
      <c r="H5" s="590"/>
      <c r="I5" s="590"/>
      <c r="J5" s="590"/>
      <c r="K5" s="590"/>
      <c r="L5" s="325"/>
      <c r="M5" s="325"/>
      <c r="N5" s="325"/>
      <c r="P5" s="6"/>
      <c r="Q5" s="6"/>
      <c r="R5" s="6"/>
      <c r="S5" s="6"/>
      <c r="T5" s="6"/>
      <c r="U5" s="6"/>
      <c r="V5" s="6"/>
      <c r="W5" s="6"/>
      <c r="X5" s="6"/>
      <c r="Y5" s="6"/>
      <c r="Z5" s="6"/>
      <c r="AA5" s="6"/>
      <c r="AB5" s="6"/>
    </row>
    <row r="6" spans="2:28" ht="12" customHeight="1">
      <c r="B6" s="49"/>
      <c r="C6" s="49"/>
      <c r="D6" s="49"/>
      <c r="E6" s="48"/>
      <c r="F6" s="31"/>
      <c r="P6" s="6"/>
      <c r="Q6" s="6"/>
      <c r="R6" s="6"/>
      <c r="S6" s="6"/>
      <c r="T6" s="6"/>
      <c r="U6" s="6"/>
      <c r="V6" s="6"/>
      <c r="W6" s="6"/>
      <c r="X6" s="6"/>
      <c r="Y6" s="6"/>
      <c r="Z6" s="6"/>
      <c r="AA6" s="6"/>
      <c r="AB6" s="6"/>
    </row>
    <row r="7" spans="2:28" ht="20.25">
      <c r="B7" s="117" t="s">
        <v>366</v>
      </c>
      <c r="C7" s="346">
        <f>VLOOKUP(Nom_service,'Assainissement_technique '!$A$2:$AG$17,4,FALSE)</f>
        <v>12980</v>
      </c>
      <c r="D7" s="65"/>
      <c r="E7" s="49" t="s">
        <v>628</v>
      </c>
      <c r="F7" s="453">
        <f>VLOOKUP(Nom_service,'Assainissement_technique '!$A$2:$AW$17,15,FALSE)</f>
        <v>1174652</v>
      </c>
      <c r="G7" s="468" t="s">
        <v>84</v>
      </c>
      <c r="H7" s="612" t="str">
        <f>VLOOKUP(Nom_service,Juridique_Ass!$A$1:$AE$17,11,FALSE)</f>
        <v>Nombreux ouvrages en domaine privé mais seulement quelques servitudes</v>
      </c>
      <c r="I7" s="612"/>
      <c r="J7" s="612"/>
      <c r="K7" s="612"/>
      <c r="L7" s="228"/>
      <c r="M7" s="228"/>
      <c r="N7" s="228"/>
      <c r="P7" s="6" t="s">
        <v>21</v>
      </c>
      <c r="Q7" s="6"/>
      <c r="R7" s="6"/>
      <c r="S7" s="10">
        <v>0.99</v>
      </c>
      <c r="T7" s="10">
        <v>0.99</v>
      </c>
      <c r="U7" s="12">
        <v>57</v>
      </c>
      <c r="V7" s="13">
        <v>12.7</v>
      </c>
      <c r="W7" s="14">
        <v>0.01</v>
      </c>
      <c r="X7" s="12">
        <v>3</v>
      </c>
      <c r="Y7" s="12">
        <v>1.94</v>
      </c>
      <c r="Z7" s="15">
        <v>0.01</v>
      </c>
      <c r="AA7" s="10">
        <v>0.8</v>
      </c>
      <c r="AB7" s="12">
        <v>4</v>
      </c>
    </row>
    <row r="8" spans="2:28" ht="26.25" customHeight="1">
      <c r="C8" s="282"/>
      <c r="D8" s="65"/>
      <c r="E8" s="49"/>
      <c r="F8" s="448"/>
      <c r="G8" s="468" t="s">
        <v>210</v>
      </c>
      <c r="H8" s="613" t="str">
        <f>VLOOKUP(Nom_service,Juridique_Ass!$A$1:$AE$17,28,FALSE)</f>
        <v>non</v>
      </c>
      <c r="I8" s="613" t="str">
        <f>VLOOKUP(Nom_service,Juridique_Ass!$A$1:$AE$2,11)</f>
        <v>Conventions de servitudes</v>
      </c>
      <c r="J8" s="613" t="str">
        <f>VLOOKUP(Nom_service,Juridique_Ass!$A$1:$AE$2,11)</f>
        <v>Conventions de servitudes</v>
      </c>
      <c r="K8" s="613" t="str">
        <f>VLOOKUP(Nom_service,Juridique_Ass!$A$1:$AE$2,11)</f>
        <v>Conventions de servitudes</v>
      </c>
      <c r="L8" s="128"/>
      <c r="M8" s="128"/>
      <c r="N8" s="128"/>
      <c r="P8" s="6"/>
      <c r="Q8" s="6"/>
      <c r="R8" s="6"/>
      <c r="S8" s="50"/>
      <c r="T8" s="50"/>
      <c r="U8" s="51"/>
      <c r="V8" s="52"/>
      <c r="W8" s="53"/>
      <c r="X8" s="51"/>
      <c r="Y8" s="51"/>
      <c r="Z8" s="54"/>
      <c r="AA8" s="50"/>
      <c r="AB8" s="51"/>
    </row>
    <row r="9" spans="2:28" ht="23.25" customHeight="1">
      <c r="B9" s="117" t="s">
        <v>6</v>
      </c>
      <c r="C9" s="346">
        <f>VLOOKUP(Nom_service,'Assainissement_technique '!$A$2:$AG$17,6,FALSE)</f>
        <v>3630</v>
      </c>
      <c r="D9" s="65"/>
      <c r="E9" s="49" t="s">
        <v>629</v>
      </c>
      <c r="F9" s="453">
        <f>VLOOKUP(Nom_service,'Assainissement_technique '!$A$2:$AG$17,16,FALSE)</f>
        <v>1382737.5</v>
      </c>
      <c r="G9" s="468"/>
      <c r="H9" s="613"/>
      <c r="I9" s="613"/>
      <c r="J9" s="613"/>
      <c r="K9" s="613"/>
      <c r="P9" s="16"/>
      <c r="Q9" s="6"/>
      <c r="R9" s="6"/>
      <c r="S9" s="6"/>
      <c r="T9" s="6"/>
      <c r="U9" s="6"/>
      <c r="V9" s="6"/>
      <c r="W9" s="6"/>
      <c r="X9" s="6"/>
      <c r="Y9" s="6"/>
      <c r="Z9" s="6"/>
      <c r="AA9" s="6"/>
      <c r="AB9" s="6"/>
    </row>
    <row r="10" spans="2:28" ht="20.25" customHeight="1">
      <c r="B10" s="49"/>
      <c r="C10" s="446"/>
      <c r="D10" s="65"/>
      <c r="E10" s="49"/>
      <c r="F10" s="448"/>
      <c r="G10" s="468" t="s">
        <v>211</v>
      </c>
      <c r="H10" s="609" t="str">
        <f>VLOOKUP(Nom_service,Juridique_Ass!$A$1:$AE$17,9,FALSE)</f>
        <v>non</v>
      </c>
      <c r="I10" s="609"/>
      <c r="J10" s="609"/>
      <c r="K10" s="609"/>
      <c r="P10" s="16"/>
      <c r="Q10" s="6"/>
      <c r="R10" s="6"/>
      <c r="S10" s="6"/>
      <c r="T10" s="6"/>
      <c r="U10" s="6"/>
      <c r="V10" s="6"/>
      <c r="W10" s="6"/>
      <c r="X10" s="6"/>
      <c r="Y10" s="6"/>
      <c r="Z10" s="6"/>
      <c r="AA10" s="6"/>
      <c r="AB10" s="6"/>
    </row>
    <row r="11" spans="2:28" ht="20.25" customHeight="1">
      <c r="B11" s="49" t="s">
        <v>0</v>
      </c>
      <c r="C11" s="346">
        <f>VLOOKUP(Nom_service,'Assainissement_technique '!$A$2:$AG$17,23,FALSE)</f>
        <v>0</v>
      </c>
      <c r="D11" s="65"/>
      <c r="E11" s="49" t="s">
        <v>229</v>
      </c>
      <c r="F11" s="451">
        <f>VLOOKUP(Nom_service,'Assainissement_technique '!$A$2:$AG$17,13,FALSE)</f>
        <v>32200</v>
      </c>
      <c r="G11" s="117"/>
      <c r="H11" s="463"/>
      <c r="I11" s="463"/>
      <c r="J11" s="463"/>
      <c r="K11" s="463"/>
      <c r="P11" s="16"/>
      <c r="Q11" s="6"/>
      <c r="R11" s="6"/>
      <c r="S11" s="6"/>
      <c r="T11" s="6"/>
      <c r="U11" s="6"/>
      <c r="V11" s="6"/>
      <c r="W11" s="6"/>
      <c r="X11" s="6"/>
      <c r="Y11" s="6"/>
      <c r="Z11" s="6"/>
      <c r="AA11" s="6"/>
      <c r="AB11" s="6"/>
    </row>
    <row r="12" spans="2:28" ht="50.25" customHeight="1">
      <c r="B12" s="49"/>
      <c r="C12" s="446"/>
      <c r="D12" s="65"/>
      <c r="E12" s="49"/>
      <c r="F12" s="282"/>
      <c r="G12" s="117" t="s">
        <v>196</v>
      </c>
      <c r="H12" s="610" t="str">
        <f>VLOOKUP(Nom_service,Juridique_Ass!$A$1:$AE$17,10,FALSE)</f>
        <v>13/07/21013</v>
      </c>
      <c r="I12" s="610"/>
      <c r="J12" s="610"/>
      <c r="K12" s="610"/>
      <c r="P12" s="16"/>
      <c r="Q12" s="6"/>
      <c r="R12" s="6"/>
      <c r="S12" s="6"/>
      <c r="T12" s="6"/>
      <c r="U12" s="6"/>
      <c r="V12" s="6"/>
      <c r="W12" s="6"/>
      <c r="X12" s="6"/>
      <c r="Y12" s="6"/>
      <c r="Z12" s="6"/>
      <c r="AA12" s="6"/>
      <c r="AB12" s="6"/>
    </row>
    <row r="13" spans="2:28" ht="24.75" customHeight="1">
      <c r="B13" s="49" t="s">
        <v>364</v>
      </c>
      <c r="C13" s="454">
        <f>VLOOKUP(Nom_service,'Assainissement_technique '!$A$2:$AG$17,20,FALSE)</f>
        <v>50</v>
      </c>
      <c r="D13" s="65"/>
      <c r="E13" s="350" t="s">
        <v>192</v>
      </c>
      <c r="F13" s="608" t="str">
        <f>VLOOKUP(Nom_service,'Assainissement_technique '!$A$2:$AG$17,12,FALSE)</f>
        <v>Boues activées lit fluidisé</v>
      </c>
      <c r="G13" s="117"/>
      <c r="H13" s="464"/>
      <c r="I13" s="464"/>
      <c r="J13" s="464"/>
      <c r="K13" s="464"/>
      <c r="P13" s="6" t="s">
        <v>22</v>
      </c>
      <c r="Q13" s="6" t="s">
        <v>24</v>
      </c>
      <c r="R13" s="17">
        <v>-0.5</v>
      </c>
      <c r="S13" s="18">
        <v>1</v>
      </c>
      <c r="T13" s="18">
        <v>1</v>
      </c>
      <c r="U13" s="12"/>
      <c r="V13" s="19">
        <v>5.01</v>
      </c>
      <c r="W13" s="20">
        <v>3.0000000000000001E-3</v>
      </c>
      <c r="X13" s="21">
        <f>$R13*X$7+X$7</f>
        <v>1.5</v>
      </c>
      <c r="Y13" s="12">
        <v>1.06</v>
      </c>
      <c r="Z13" s="22">
        <v>0.01</v>
      </c>
      <c r="AA13" s="23"/>
      <c r="AB13" s="19">
        <f>V13+1</f>
        <v>6.01</v>
      </c>
    </row>
    <row r="14" spans="2:28" ht="24.75" customHeight="1">
      <c r="B14" s="49"/>
      <c r="C14" s="446"/>
      <c r="D14" s="65"/>
      <c r="F14" s="608"/>
      <c r="G14" s="117" t="s">
        <v>206</v>
      </c>
      <c r="H14" s="611">
        <f>VLOOKUP(Nom_service,Juridique_Ass!$A$1:$AE$17,5,FALSE)</f>
        <v>47483</v>
      </c>
      <c r="I14" s="611"/>
      <c r="J14" s="611"/>
      <c r="K14" s="611"/>
      <c r="P14" s="6"/>
      <c r="Q14" s="6"/>
      <c r="R14" s="17"/>
      <c r="S14" s="18"/>
      <c r="T14" s="18"/>
      <c r="U14" s="12"/>
      <c r="V14" s="19"/>
      <c r="W14" s="20"/>
      <c r="X14" s="21"/>
      <c r="Y14" s="12"/>
      <c r="Z14" s="22"/>
      <c r="AA14" s="23"/>
      <c r="AB14" s="19"/>
    </row>
    <row r="15" spans="2:28" ht="20.25">
      <c r="B15" s="49" t="s">
        <v>365</v>
      </c>
      <c r="C15" s="220" t="str">
        <f>VLOOKUP(Nom_service,'Assainissement_technique '!$A$2:$AG$17,22,FALSE)</f>
        <v>"globalement séparatif"</v>
      </c>
      <c r="D15" s="65"/>
      <c r="F15" s="282"/>
      <c r="G15" s="117"/>
      <c r="H15" s="333"/>
      <c r="I15" s="444"/>
      <c r="J15" s="444"/>
      <c r="K15" s="444"/>
      <c r="M15" s="222"/>
      <c r="N15" s="222"/>
      <c r="P15" s="6"/>
      <c r="Q15" s="6"/>
      <c r="R15" s="17">
        <v>-0.25</v>
      </c>
      <c r="S15" s="18">
        <v>0.98</v>
      </c>
      <c r="T15" s="18">
        <v>0.98</v>
      </c>
      <c r="U15" s="12"/>
      <c r="V15" s="19">
        <v>10.01</v>
      </c>
      <c r="W15" s="20">
        <v>5.0000000000000001E-3</v>
      </c>
      <c r="X15" s="21">
        <f>$R15*X$7+X$7</f>
        <v>2.25</v>
      </c>
      <c r="Y15" s="12"/>
      <c r="Z15" s="22">
        <v>1.4999999999999999E-2</v>
      </c>
      <c r="AA15" s="23"/>
      <c r="AB15" s="19">
        <f>V15+1</f>
        <v>11.01</v>
      </c>
    </row>
    <row r="16" spans="2:28" ht="45" customHeight="1">
      <c r="B16" s="48"/>
      <c r="C16" s="447"/>
      <c r="D16" s="65"/>
      <c r="E16" s="117" t="s">
        <v>623</v>
      </c>
      <c r="F16" s="449">
        <f>VLOOKUP(Nom_service,'Assainissement_technique '!$A$2:$AG$17,9,FALSE)</f>
        <v>6</v>
      </c>
      <c r="G16" s="117" t="s">
        <v>190</v>
      </c>
      <c r="H16" s="609" t="str">
        <f>VLOOKUP(Nom_service,Juridique_Ass!$A$1:$AE$17,27,FALSE)</f>
        <v>1 marché fourniture de réactifs (14k€ - 2015)
1 marché curage/désobstruction  (30k€ - 2015)
1 marché maintenance PR  (4k€ - 2015)
1 marché réparations  (47k€ - 2015)</v>
      </c>
      <c r="I16" s="609"/>
      <c r="J16" s="609"/>
      <c r="K16" s="609"/>
      <c r="M16" s="222"/>
      <c r="N16" s="222"/>
      <c r="P16" s="6"/>
      <c r="Q16" s="6"/>
      <c r="R16" s="17"/>
      <c r="S16" s="18"/>
      <c r="T16" s="18"/>
      <c r="U16" s="12"/>
      <c r="V16" s="19"/>
      <c r="W16" s="20"/>
      <c r="X16" s="21"/>
      <c r="Y16" s="12"/>
      <c r="Z16" s="22"/>
      <c r="AA16" s="23"/>
      <c r="AB16" s="19"/>
    </row>
    <row r="17" spans="2:28" ht="48.75" customHeight="1">
      <c r="B17" s="117" t="s">
        <v>35</v>
      </c>
      <c r="C17" s="467" t="str">
        <f>VLOOKUP(Nom_service,Juridique_Ass!$A$2:$AA$17,3,FALSE)</f>
        <v>Réseau en régie
STEP en délégation (concession)</v>
      </c>
      <c r="D17" s="65"/>
      <c r="F17" s="282"/>
      <c r="G17" s="49"/>
      <c r="H17" s="463"/>
      <c r="I17" s="463"/>
      <c r="J17" s="463"/>
      <c r="K17" s="463"/>
      <c r="M17" s="222"/>
      <c r="N17" s="222"/>
      <c r="P17" s="6"/>
      <c r="Q17" s="6"/>
      <c r="R17" s="17">
        <v>0.25</v>
      </c>
      <c r="S17" s="18">
        <v>0.96</v>
      </c>
      <c r="T17" s="18">
        <v>0.96</v>
      </c>
      <c r="U17" s="12"/>
      <c r="V17" s="19">
        <v>15.01</v>
      </c>
      <c r="W17" s="20">
        <v>0.01</v>
      </c>
      <c r="X17" s="21">
        <f>$R17*X$7+X$7</f>
        <v>3.75</v>
      </c>
      <c r="Y17" s="12"/>
      <c r="Z17" s="22">
        <v>0.02</v>
      </c>
      <c r="AA17" s="23"/>
      <c r="AB17" s="19">
        <f>V17+1</f>
        <v>16.009999999999998</v>
      </c>
    </row>
    <row r="18" spans="2:28" ht="19.5" customHeight="1">
      <c r="C18" s="69"/>
      <c r="D18" s="65"/>
      <c r="E18" s="117" t="s">
        <v>195</v>
      </c>
      <c r="F18" s="449">
        <f>VLOOKUP(Nom_service,'Assainissement_technique '!$A$2:$AG$17,10,FALSE)</f>
        <v>5</v>
      </c>
      <c r="G18" s="28" t="s">
        <v>293</v>
      </c>
      <c r="H18" s="609" t="str">
        <f>VLOOKUP(Nom_service,Juridique_Ass!$A$1:$AF$17,32,FALSE)</f>
        <v>aucun</v>
      </c>
      <c r="I18" s="609"/>
      <c r="J18" s="609"/>
      <c r="K18" s="609"/>
      <c r="M18" s="222"/>
      <c r="N18" s="222"/>
      <c r="P18" s="6"/>
      <c r="Q18" s="6"/>
      <c r="R18" s="17"/>
      <c r="S18" s="18"/>
      <c r="T18" s="18"/>
      <c r="U18" s="12"/>
      <c r="V18" s="19"/>
      <c r="W18" s="20"/>
      <c r="X18" s="21"/>
      <c r="Y18" s="12"/>
      <c r="Z18" s="22"/>
      <c r="AA18" s="23"/>
      <c r="AB18" s="19"/>
    </row>
    <row r="19" spans="2:28" ht="19.5">
      <c r="B19" s="117" t="s">
        <v>203</v>
      </c>
      <c r="C19" s="347">
        <f>VLOOKUP(Nom_service,ETP!$A$2:$K$17,8,FALSE)</f>
        <v>3.4</v>
      </c>
      <c r="D19" s="65"/>
      <c r="E19" s="48"/>
      <c r="F19" s="450"/>
      <c r="H19" s="609"/>
      <c r="I19" s="609"/>
      <c r="J19" s="609"/>
      <c r="K19" s="609"/>
      <c r="M19" s="223"/>
      <c r="N19" s="223"/>
      <c r="P19" s="6"/>
      <c r="Q19" s="6"/>
      <c r="R19" s="17">
        <v>0.8</v>
      </c>
      <c r="S19" s="18">
        <v>0.94</v>
      </c>
      <c r="T19" s="18">
        <v>0.94</v>
      </c>
      <c r="U19" s="12"/>
      <c r="V19" s="19">
        <v>20.010000000000002</v>
      </c>
      <c r="W19" s="20">
        <v>1.4999999999999999E-2</v>
      </c>
      <c r="X19" s="21">
        <f>$R19*X$7+X$7</f>
        <v>5.4</v>
      </c>
      <c r="Y19" s="12">
        <v>2.7</v>
      </c>
      <c r="Z19" s="22">
        <v>2.5000000000000001E-2</v>
      </c>
      <c r="AA19" s="23"/>
      <c r="AB19" s="19">
        <f>V19+1</f>
        <v>21.01</v>
      </c>
    </row>
    <row r="20" spans="2:28" ht="25.5" customHeight="1">
      <c r="B20" s="117" t="s">
        <v>202</v>
      </c>
      <c r="C20" s="347">
        <f>VLOOKUP(Nom_service,ETP!$A$2:$K$17,9,FALSE)</f>
        <v>0.4</v>
      </c>
      <c r="D20" s="65"/>
      <c r="E20" s="597" t="s">
        <v>230</v>
      </c>
      <c r="F20" s="605" t="str">
        <f>VLOOKUP(Nom_service,ETP!$A$2:$M$17,13,FALSE)</f>
        <v>AEP par le SIECL  
Global AEP/ASSt (réparti à 0/100 Technique et 0/100 Admin):
Technique: 4 pers - 3 à temps plein
Admin: 1 pers -  0 à temps plein</v>
      </c>
      <c r="M20" s="223"/>
      <c r="N20" s="223"/>
      <c r="P20" s="6"/>
      <c r="Q20" s="6"/>
      <c r="R20" s="55"/>
      <c r="S20" s="56"/>
      <c r="T20" s="56"/>
      <c r="U20" s="51"/>
      <c r="V20" s="57"/>
      <c r="W20" s="58"/>
      <c r="X20" s="59"/>
      <c r="Y20" s="51"/>
      <c r="Z20" s="60"/>
      <c r="AA20" s="61"/>
      <c r="AB20" s="57"/>
    </row>
    <row r="21" spans="2:28" ht="28.5" customHeight="1">
      <c r="B21" s="117" t="s">
        <v>212</v>
      </c>
      <c r="C21" s="557" t="str">
        <f>VLOOKUP(Nom_service,ETP!$A$2:$L$17,12,FALSE)</f>
        <v>Astreinte communale (voirie)</v>
      </c>
      <c r="D21" s="65"/>
      <c r="E21" s="597"/>
      <c r="F21" s="605"/>
      <c r="G21" s="590" t="s">
        <v>53</v>
      </c>
      <c r="H21" s="590"/>
      <c r="I21" s="590"/>
      <c r="J21" s="590"/>
      <c r="K21" s="590"/>
      <c r="M21" s="223"/>
      <c r="N21" s="223"/>
      <c r="P21" s="6"/>
      <c r="Q21" s="6"/>
      <c r="R21" s="55"/>
      <c r="S21" s="56"/>
      <c r="T21" s="56"/>
      <c r="U21" s="51"/>
      <c r="V21" s="57"/>
      <c r="W21" s="58"/>
      <c r="X21" s="59"/>
      <c r="Y21" s="51"/>
      <c r="Z21" s="60"/>
      <c r="AA21" s="61"/>
      <c r="AB21" s="57"/>
    </row>
    <row r="22" spans="2:28" ht="22.5" customHeight="1">
      <c r="B22" s="117" t="s">
        <v>333</v>
      </c>
      <c r="C22" s="608" t="str">
        <f>VLOOKUP(Nom_service,'Assainissement_technique '!$A$2:$AU$17,47,FALSE)</f>
        <v>Matériel intervention (caméra, ballon obturateur, test fumée)
2 véhicules</v>
      </c>
      <c r="D22" s="65"/>
      <c r="E22" s="597"/>
      <c r="F22" s="605"/>
      <c r="G22" s="313" t="s">
        <v>225</v>
      </c>
      <c r="I22" s="313" t="s">
        <v>226</v>
      </c>
      <c r="J22" s="313"/>
      <c r="M22" s="223"/>
      <c r="N22" s="223"/>
      <c r="P22" s="6"/>
      <c r="Q22" s="6"/>
      <c r="R22" s="55"/>
      <c r="S22" s="56"/>
      <c r="T22" s="56"/>
      <c r="U22" s="51"/>
      <c r="V22" s="57"/>
      <c r="W22" s="58"/>
      <c r="X22" s="59"/>
      <c r="Y22" s="51"/>
      <c r="Z22" s="60"/>
      <c r="AA22" s="61"/>
      <c r="AB22" s="57"/>
    </row>
    <row r="23" spans="2:28" ht="19.5">
      <c r="C23" s="608"/>
      <c r="E23" s="117"/>
      <c r="F23" s="282"/>
      <c r="G23" s="583" t="str">
        <f>VLOOKUP(Nom_service,'Assainissement_technique '!$A$2:$AM$17,38,FALSE)</f>
        <v>Ouvrage de transfert vers la nouvelle STEP (4,5M€)</v>
      </c>
      <c r="I23" s="581" t="s">
        <v>199</v>
      </c>
      <c r="J23" s="581"/>
      <c r="K23" s="607">
        <f>VLOOKUP(Nom_service,'Assainissement_technique '!$A$2:$AG$17,18,FALSE)</f>
        <v>100</v>
      </c>
      <c r="M23" s="222"/>
      <c r="N23" s="222"/>
      <c r="P23" s="6"/>
      <c r="Q23" s="6"/>
      <c r="R23" s="55"/>
      <c r="S23" s="56"/>
      <c r="T23" s="56"/>
      <c r="U23" s="51"/>
      <c r="V23" s="57"/>
      <c r="W23" s="58"/>
      <c r="X23" s="59"/>
      <c r="Y23" s="51"/>
      <c r="Z23" s="60"/>
      <c r="AA23" s="61"/>
      <c r="AB23" s="57"/>
    </row>
    <row r="24" spans="2:28" ht="19.5">
      <c r="C24" s="608"/>
      <c r="E24" s="117" t="s">
        <v>372</v>
      </c>
      <c r="F24" s="370">
        <f>VLOOKUP(Nom_service,'Assainissement_technique '!$A$2:$AW$17,48,FALSE)</f>
        <v>2016</v>
      </c>
      <c r="G24" s="583"/>
      <c r="I24" s="323"/>
      <c r="J24" s="323"/>
      <c r="K24" s="607"/>
      <c r="M24" s="222"/>
      <c r="N24" s="222"/>
      <c r="P24" s="6"/>
      <c r="Q24" s="6"/>
      <c r="R24" s="55"/>
      <c r="S24" s="56"/>
      <c r="T24" s="56"/>
      <c r="U24" s="51"/>
      <c r="V24" s="57"/>
      <c r="W24" s="58"/>
      <c r="X24" s="59"/>
      <c r="Y24" s="51"/>
      <c r="Z24" s="60"/>
      <c r="AA24" s="61"/>
      <c r="AB24" s="57"/>
    </row>
    <row r="25" spans="2:28" ht="20.25" customHeight="1">
      <c r="C25" s="608"/>
      <c r="E25" s="117" t="s">
        <v>322</v>
      </c>
      <c r="F25" s="370" t="str">
        <f>VLOOKUP(Nom_service,'Assainissement_technique '!$A$2:$AW$17,49,FALSE)</f>
        <v>Oui Asst collectif et non collectif</v>
      </c>
      <c r="G25" s="583"/>
      <c r="I25" s="323"/>
      <c r="J25" s="323"/>
      <c r="K25" s="607"/>
      <c r="M25" s="222"/>
      <c r="N25" s="222"/>
      <c r="P25" s="6"/>
      <c r="Q25" s="6"/>
      <c r="R25" s="55"/>
      <c r="S25" s="56"/>
      <c r="T25" s="56"/>
      <c r="U25" s="51"/>
      <c r="V25" s="57"/>
      <c r="W25" s="58"/>
      <c r="X25" s="59"/>
      <c r="Y25" s="51"/>
      <c r="Z25" s="60"/>
      <c r="AA25" s="61"/>
      <c r="AB25" s="57"/>
    </row>
    <row r="26" spans="2:28" ht="18.75" customHeight="1">
      <c r="G26" s="583"/>
      <c r="I26" s="597" t="str">
        <f>VLOOKUP(Nom_service,'Assainissement_technique '!$A$2:$AM$17,39,FALSE)</f>
        <v>Déplacement PR (montant 1,1M€, prévu 2017-2018)
Renouvellement &amp; réhabilitation réseau (1M€, 2016-2018)</v>
      </c>
      <c r="J26" s="597"/>
      <c r="K26" s="597"/>
      <c r="M26" s="222"/>
      <c r="N26" s="222"/>
      <c r="P26" s="6"/>
      <c r="Q26" s="6"/>
      <c r="R26" s="6"/>
      <c r="S26" s="6"/>
      <c r="T26" s="6"/>
      <c r="U26" s="6"/>
      <c r="V26" s="6"/>
      <c r="W26" s="6"/>
      <c r="X26" s="6"/>
      <c r="Y26" s="6"/>
      <c r="Z26" s="6"/>
      <c r="AA26" s="6"/>
      <c r="AB26" s="6"/>
    </row>
    <row r="27" spans="2:28" ht="29.25" customHeight="1">
      <c r="B27" s="590" t="s">
        <v>37</v>
      </c>
      <c r="C27" s="590"/>
      <c r="D27" s="590"/>
      <c r="E27" s="590"/>
      <c r="F27" s="533" t="str">
        <f>VLOOKUP(Nom_service,'Assainissement_technique '!$A$2:$AZ$17,52,FALSE)</f>
        <v>Exercice 2015</v>
      </c>
      <c r="G27" s="583"/>
      <c r="I27" s="597"/>
      <c r="J27" s="597"/>
      <c r="K27" s="597"/>
      <c r="M27" s="222"/>
      <c r="N27" s="222"/>
      <c r="P27" s="6"/>
      <c r="Q27" s="6"/>
      <c r="R27" s="6"/>
      <c r="S27" s="6"/>
      <c r="T27" s="6"/>
      <c r="U27" s="6"/>
      <c r="V27" s="6"/>
      <c r="W27" s="6"/>
      <c r="X27" s="6"/>
      <c r="Y27" s="6"/>
      <c r="Z27" s="6"/>
      <c r="AA27" s="6"/>
      <c r="AB27" s="6"/>
    </row>
    <row r="28" spans="2:28" ht="21.75" customHeight="1">
      <c r="B28" s="606" t="s">
        <v>130</v>
      </c>
      <c r="C28" s="606"/>
      <c r="D28" s="46"/>
      <c r="E28" s="606" t="s">
        <v>193</v>
      </c>
      <c r="F28" s="606"/>
      <c r="G28" s="583"/>
      <c r="I28" s="597"/>
      <c r="J28" s="597"/>
      <c r="K28" s="597"/>
      <c r="M28" s="222"/>
      <c r="N28" s="222"/>
      <c r="P28" s="24" t="s">
        <v>30</v>
      </c>
      <c r="Q28" s="9"/>
      <c r="S28" s="25">
        <f>IF(S7="nc","NC",IF(S7=S$13,4,IF(S7&lt;S$19,0,IF(S7&lt;S$17,1,IF(S7&lt;S$15,2,IF(S7&lt;S$13,3))))))</f>
        <v>3</v>
      </c>
      <c r="T28" s="25">
        <f>IF(T7="nc","NC",IF(T7=T$13,4,IF(T7&lt;T$19,0,IF(T7&lt;T$17,1,IF(T7&lt;T$15,2,IF(T7&lt;T$13,3))))))</f>
        <v>3</v>
      </c>
      <c r="U28" s="26">
        <f>U7/100*4</f>
        <v>2.2799999999999998</v>
      </c>
      <c r="V28" s="26">
        <f>IF(V7="nc","NC",IF(V7&lt;V$13,4,IF(V7&lt;V$15,3,IF(V7&lt;V$17,2,IF(V7&lt;V$19,1,IF(V7&gt;V$19,0))))))</f>
        <v>2</v>
      </c>
      <c r="W28" s="25">
        <f>IF(W7="nc","NC",IF(W7&lt;W$13,0,IF(W7&lt;W$15,1,IF(W7&lt;W$17,2,IF(W7&lt;W$19,3,IF(W7&gt;W$19,4))))))</f>
        <v>3</v>
      </c>
      <c r="X28" s="25">
        <f>IF(X7="nc","NC",IF(X7&lt;X$13,4,IF(X7&lt;X$15,3,IF(X7&lt;X$17,2,IF(X7&lt;X$19,1,IF(X7&gt;X$19,0))))))</f>
        <v>2</v>
      </c>
      <c r="Y28" s="27">
        <f>IF(Y7&lt;$Y$13,4,IF(Y7&gt;$Y$19,0,-2.46*Y7+6.66))</f>
        <v>1.8875999999999999</v>
      </c>
      <c r="Z28" s="26">
        <f>IF(Z7="nc","NC",IF(Z7&lt;Z$13,4,IF(Z7&lt;Z$15,3,IF(Z7&lt;Z$17,2,IF(Z7&lt;Z$19,1,IF(Z7&gt;Z$19,0))))))</f>
        <v>3</v>
      </c>
      <c r="AA28" s="26"/>
      <c r="AB28" s="26"/>
    </row>
    <row r="29" spans="2:28" ht="50.25" customHeight="1">
      <c r="B29" s="321" t="s">
        <v>321</v>
      </c>
      <c r="C29" s="278" t="str">
        <f>VLOOKUP(Nom_service,'Assainissement_technique '!$A$2:$AG$17,17,FALSE)</f>
        <v>Conforme</v>
      </c>
      <c r="D29" s="62"/>
      <c r="E29" s="323" t="s">
        <v>636</v>
      </c>
      <c r="F29" s="278">
        <f>VLOOKUP(Nom_service,'Assainissement_technique '!$A$2:$AG$17,30,FALSE)</f>
        <v>0.14599999999999999</v>
      </c>
      <c r="G29" s="592" t="s">
        <v>308</v>
      </c>
      <c r="H29" s="590"/>
      <c r="I29" s="590"/>
      <c r="J29" s="590"/>
      <c r="K29" s="590"/>
      <c r="M29" s="222"/>
      <c r="N29" s="222"/>
      <c r="P29" s="9" t="s">
        <v>26</v>
      </c>
      <c r="Q29" s="9"/>
      <c r="S29" s="25">
        <f>IF(S4="nc","NC",IF(S4=S$13,4,IF(S4&lt;S$19,0,IF(S4&lt;S$17,1,IF(S4&lt;S$15,2,IF(S4&lt;S$13,3))))))</f>
        <v>0</v>
      </c>
      <c r="T29" s="25">
        <f>IF(T4="nc","NC",IF(T4=T$13,4,IF(T4&lt;T$19,0,IF(T4&lt;T$17,1,IF(T4&lt;T$15,2,IF(T4&lt;T$13,3))))))</f>
        <v>0</v>
      </c>
      <c r="U29" s="25">
        <f>IF(U4="NC","NC",U4/100*4)</f>
        <v>0</v>
      </c>
      <c r="V29" s="25">
        <f>IF(V4="nc","NC",IF(V4&lt;V$13,4,IF(V4&lt;V$15,3,IF(V4&lt;V$17,2,IF(V4&lt;V$19,1,IF(V4&gt;V$19,0))))))</f>
        <v>0</v>
      </c>
      <c r="W29" s="25">
        <f>IF(W4="nc","NC",IF(W4&lt;W$13,0,IF(W4&lt;W$15,1,IF(W4&lt;W$17,2,IF(W4&lt;W$19,3,IF(W4&gt;W$19,4))))))</f>
        <v>4</v>
      </c>
      <c r="X29" s="25">
        <f>IF(X4="nc","NC",IF(X4&lt;X$13,4,IF(X4&lt;X$15,3,IF(X4&lt;X$17,2,IF(X4&lt;X$19,1,IF(X4&gt;X$19,0))))))</f>
        <v>4</v>
      </c>
      <c r="Y29" s="27">
        <f>IF(Y4&lt;$Y$13,4,IF(Y4&gt;$Y$19,0,-2.46*Y4+6.66))</f>
        <v>4</v>
      </c>
      <c r="Z29" s="25">
        <f>IF(Z4="nc","NC",IF(Z4&lt;Z$13,4,IF(Z4&lt;Z$15,3,IF(Z4&lt;Z$17,2,IF(Z4&lt;Z$19,1,IF(Z4&gt;Z$19,0))))))</f>
        <v>4</v>
      </c>
      <c r="AA29" s="25">
        <f>V29</f>
        <v>0</v>
      </c>
      <c r="AB29" s="25">
        <f>IF(AB4="nc","NC",IF(AB4&lt;AB$13,4,IF(AB4&lt;AB$15,3,IF(AB4&lt;AB$17,2,IF(AB4&lt;AB$19,1,IF(AB4&gt;AB$19,0))))))</f>
        <v>0</v>
      </c>
    </row>
    <row r="30" spans="2:28" ht="3.75" customHeight="1">
      <c r="B30" s="69"/>
      <c r="C30" s="125"/>
      <c r="D30" s="29"/>
      <c r="E30" s="68"/>
      <c r="F30" s="118"/>
      <c r="M30" s="222"/>
      <c r="N30" s="222"/>
    </row>
    <row r="31" spans="2:28" ht="38.25" customHeight="1">
      <c r="B31" s="323" t="s">
        <v>367</v>
      </c>
      <c r="C31" s="315">
        <f>VLOOKUP(Nom_service,'Assainissement_technique '!$A$2:$AG$17,28,FALSE)</f>
        <v>15</v>
      </c>
      <c r="D31" s="44"/>
      <c r="E31" s="323" t="s">
        <v>368</v>
      </c>
      <c r="F31" s="455">
        <f>VLOOKUP(Nom_service,'Assainissement_technique '!$A$2:$AG$17,31,FALSE)</f>
        <v>2.3980000000000001E-2</v>
      </c>
      <c r="G31" s="117" t="s">
        <v>341</v>
      </c>
      <c r="H31" s="514">
        <f>VLOOKUP(Nom_service,'Assainissement_technique '!$A$2:$AR$17,40,FALSE)</f>
        <v>2012</v>
      </c>
      <c r="I31" s="117" t="s">
        <v>35</v>
      </c>
      <c r="K31" s="445" t="str">
        <f>VLOOKUP(Nom_service,'Assainissement_technique '!$A$2:$AR$17,42,FALSE)</f>
        <v>Régie</v>
      </c>
      <c r="M31" s="222"/>
      <c r="N31" s="222"/>
    </row>
    <row r="32" spans="2:28" ht="19.5">
      <c r="B32" s="70"/>
      <c r="C32" s="125"/>
      <c r="D32" s="45"/>
      <c r="E32" s="100"/>
      <c r="F32" s="118"/>
      <c r="G32" s="117" t="s">
        <v>309</v>
      </c>
      <c r="H32" s="315">
        <f>VLOOKUP(Nom_service,'Assainissement_technique '!$A$2:$AR$17,41,FALSE)</f>
        <v>294</v>
      </c>
      <c r="I32" s="117" t="s">
        <v>336</v>
      </c>
      <c r="K32" s="445" t="str">
        <f>VLOOKUP(Nom_service,'Assainissement_technique '!$A$2:$AR$17,44,FALSE)</f>
        <v>oui</v>
      </c>
      <c r="M32" s="223"/>
      <c r="N32" s="223"/>
    </row>
    <row r="33" spans="2:41" ht="34.5">
      <c r="B33" s="321" t="s">
        <v>118</v>
      </c>
      <c r="C33" s="315" t="str">
        <f>VLOOKUP(Nom_service,'Assainissement_technique '!$A$2:$AG$17,25,FALSE)</f>
        <v>110 (commune)
80 (Véolia)</v>
      </c>
      <c r="D33" s="44"/>
      <c r="E33" s="323" t="s">
        <v>16</v>
      </c>
      <c r="F33" s="315" t="str">
        <f>VLOOKUP(Nom_service,'Assainissement_technique '!$A$2:$AG$17,24,FALSE)</f>
        <v>10 pour Roquebrune / 95 pour Véolia</v>
      </c>
      <c r="G33" s="277" t="s">
        <v>52</v>
      </c>
      <c r="M33" s="222"/>
      <c r="N33" s="222"/>
    </row>
    <row r="34" spans="2:41" ht="20.25" customHeight="1">
      <c r="B34" s="70"/>
      <c r="C34" s="125"/>
      <c r="D34" s="45"/>
      <c r="E34" s="100"/>
      <c r="F34" s="118"/>
      <c r="G34" s="117" t="s">
        <v>310</v>
      </c>
      <c r="H34" s="515">
        <f>VLOOKUP(Nom_service,'Assainissement_technique '!$A$2:$AR$17,43,FALSE)</f>
        <v>100</v>
      </c>
      <c r="M34" s="222"/>
      <c r="N34" s="222"/>
      <c r="T34" s="28"/>
    </row>
    <row r="35" spans="2:41" ht="5.25" customHeight="1">
      <c r="D35" s="47"/>
      <c r="H35" s="351"/>
      <c r="M35" s="222"/>
      <c r="N35" s="222"/>
      <c r="T35" s="28"/>
      <c r="U35" s="28"/>
      <c r="V35" s="28"/>
      <c r="W35" s="28"/>
    </row>
    <row r="36" spans="2:41" ht="20.25">
      <c r="B36" s="597" t="s">
        <v>213</v>
      </c>
      <c r="C36" s="598" t="str">
        <f>VLOOKUP(Nom_service,'Assainissement_technique '!$A$2:$AK$17,37,FALSE)</f>
        <v>Réseau vieillissant avec fortes infiltrations
Grilles EP branchées sur réseau EU</v>
      </c>
      <c r="D36" s="598"/>
      <c r="E36" s="598"/>
      <c r="F36" s="598"/>
      <c r="G36" s="117" t="s">
        <v>31</v>
      </c>
      <c r="H36" s="591" t="str">
        <f>VLOOKUP(Nom_service,'Assainissement_technique '!$A$2:$AU$17,46,FALSE)</f>
        <v>49 contrôles réalisés entre 2013 et 2015</v>
      </c>
      <c r="I36" s="591"/>
      <c r="J36" s="591"/>
      <c r="K36" s="591"/>
      <c r="M36" s="222"/>
      <c r="N36" s="222"/>
      <c r="T36" s="28"/>
      <c r="U36" s="28"/>
      <c r="V36" s="28"/>
      <c r="W36" s="28"/>
    </row>
    <row r="37" spans="2:41" ht="39" customHeight="1">
      <c r="B37" s="597"/>
      <c r="C37" s="598"/>
      <c r="D37" s="598"/>
      <c r="E37" s="598"/>
      <c r="F37" s="598"/>
      <c r="H37" s="591"/>
      <c r="I37" s="591"/>
      <c r="J37" s="591"/>
      <c r="K37" s="591"/>
      <c r="M37" s="229"/>
      <c r="N37" s="229"/>
      <c r="Q37" s="30"/>
      <c r="R37" s="30"/>
      <c r="S37" s="30"/>
      <c r="T37" s="32"/>
      <c r="U37" s="32"/>
      <c r="V37" s="32"/>
      <c r="W37" s="32"/>
      <c r="X37" s="31"/>
    </row>
    <row r="38" spans="2:41" ht="18">
      <c r="B38" s="311" t="s">
        <v>29</v>
      </c>
      <c r="C38" s="311"/>
      <c r="D38" s="314"/>
      <c r="E38" s="314"/>
      <c r="H38" s="591"/>
      <c r="I38" s="591"/>
      <c r="J38" s="591"/>
      <c r="K38" s="591"/>
      <c r="Q38" s="30"/>
      <c r="R38" s="30"/>
      <c r="S38" s="30"/>
      <c r="T38" s="32"/>
      <c r="U38" s="32"/>
      <c r="V38" s="32"/>
      <c r="W38" s="32"/>
      <c r="X38" s="31"/>
    </row>
    <row r="39" spans="2:41" ht="18">
      <c r="B39" s="321" t="s">
        <v>200</v>
      </c>
      <c r="C39" s="451">
        <f>VLOOKUP(Nom_service,Juridique_Ass!$A$3:$AA$22,21,FALSE)</f>
        <v>2</v>
      </c>
      <c r="D39" s="47"/>
      <c r="E39" s="442" t="s">
        <v>361</v>
      </c>
      <c r="F39" s="456">
        <f>VLOOKUP(Nom_service,Juridique_Ass!$A$2:$AD$17,23,FALSE)</f>
        <v>6.9999999999999999E-4</v>
      </c>
      <c r="K39" s="48"/>
      <c r="Q39" s="30"/>
      <c r="R39" s="30"/>
      <c r="S39" s="30"/>
      <c r="T39" s="33"/>
      <c r="U39" s="33"/>
      <c r="V39" s="33"/>
      <c r="W39" s="33"/>
      <c r="X39" s="31"/>
    </row>
    <row r="40" spans="2:41" ht="38.25" customHeight="1">
      <c r="B40" s="321" t="s">
        <v>369</v>
      </c>
      <c r="C40" s="315">
        <f>VLOOKUP(Nom_service,'Assainissement_technique '!$A$2:$AG$17,27,FALSE)</f>
        <v>0.28999999999999998</v>
      </c>
      <c r="D40" s="452"/>
      <c r="E40" s="443"/>
      <c r="F40" s="120"/>
      <c r="Q40" s="30"/>
      <c r="R40" s="30"/>
      <c r="S40" s="30"/>
      <c r="T40" s="33"/>
      <c r="U40" s="33"/>
      <c r="V40" s="33"/>
      <c r="W40" s="33"/>
      <c r="X40" s="31"/>
    </row>
    <row r="41" spans="2:41" ht="20.25">
      <c r="B41" s="321" t="s">
        <v>31</v>
      </c>
      <c r="C41" s="595" t="str">
        <f>VLOOKUP(Nom_service,Juridique_Ass!$A$2:$AD$17,30,FALSE)</f>
        <v>Aucun commentaire</v>
      </c>
      <c r="D41" s="595">
        <f>VLOOKUP(Nom_service,Juridique_Ass!$A$2:$Y$15,13)</f>
        <v>0</v>
      </c>
      <c r="E41" s="595">
        <f>VLOOKUP(Nom_service,Juridique_Ass!$A$2:$Y$15,13)</f>
        <v>0</v>
      </c>
      <c r="F41" s="595">
        <f>VLOOKUP(Nom_service,Juridique_Ass!$A$2:$Y$15,13)</f>
        <v>0</v>
      </c>
      <c r="G41" s="592" t="s">
        <v>159</v>
      </c>
      <c r="H41" s="590"/>
      <c r="I41" s="590"/>
      <c r="J41" s="590"/>
      <c r="K41" s="590"/>
      <c r="L41" s="219"/>
      <c r="M41" s="219"/>
      <c r="N41" s="219"/>
      <c r="Q41" s="30"/>
      <c r="R41" s="30"/>
      <c r="S41" s="30"/>
      <c r="T41" s="33"/>
      <c r="U41" s="33"/>
      <c r="V41" s="33"/>
      <c r="W41" s="33"/>
      <c r="X41" s="31"/>
    </row>
    <row r="42" spans="2:41" ht="8.25" customHeight="1">
      <c r="B42" s="46"/>
      <c r="C42" s="49"/>
      <c r="D42" s="49"/>
      <c r="E42" s="48"/>
      <c r="F42" s="48"/>
      <c r="G42" s="76"/>
      <c r="H42" s="76"/>
      <c r="I42" s="76"/>
      <c r="J42" s="76"/>
      <c r="K42" s="76"/>
      <c r="L42" s="219"/>
      <c r="M42" s="219"/>
      <c r="N42" s="219"/>
      <c r="Q42" s="30"/>
      <c r="R42" s="30"/>
      <c r="S42" s="30"/>
      <c r="T42" s="32"/>
      <c r="U42" s="32"/>
      <c r="V42" s="32"/>
      <c r="W42" s="34"/>
      <c r="X42" s="31"/>
    </row>
    <row r="43" spans="2:41" ht="20.25">
      <c r="B43" s="590" t="s">
        <v>48</v>
      </c>
      <c r="C43" s="590"/>
      <c r="D43" s="590"/>
      <c r="E43" s="590"/>
      <c r="F43" s="590"/>
      <c r="G43" s="353" t="s">
        <v>687</v>
      </c>
      <c r="H43" s="354" t="str">
        <f>VLOOKUP(Nom_service,'Assainissement_technique '!$A$2:$AY$17,51,FALSE)</f>
        <v>nc</v>
      </c>
      <c r="I43" s="353" t="s">
        <v>207</v>
      </c>
      <c r="J43" s="282"/>
      <c r="K43" s="355">
        <f>VLOOKUP(Nom_service,'Assainissement_technique '!$A$2:$AJ$17,34,FALSE)</f>
        <v>0</v>
      </c>
      <c r="L43" s="219"/>
      <c r="M43" s="219"/>
      <c r="N43" s="219"/>
      <c r="Q43" s="30"/>
      <c r="R43" s="30"/>
      <c r="S43" s="30"/>
      <c r="T43" s="35"/>
      <c r="U43" s="35"/>
      <c r="V43" s="35"/>
      <c r="W43" s="35"/>
      <c r="X43" s="31"/>
    </row>
    <row r="44" spans="2:41" ht="5.25" customHeight="1">
      <c r="B44" s="76"/>
      <c r="C44" s="76"/>
      <c r="D44" s="76"/>
      <c r="E44" s="76"/>
      <c r="F44" s="76"/>
      <c r="G44" s="353"/>
      <c r="H44" s="368"/>
      <c r="I44" s="353"/>
      <c r="J44" s="282"/>
      <c r="K44" s="369"/>
      <c r="L44" s="219"/>
      <c r="M44" s="219"/>
      <c r="N44" s="219"/>
      <c r="Q44" s="30"/>
      <c r="R44" s="30"/>
      <c r="S44" s="30"/>
      <c r="T44" s="35"/>
      <c r="U44" s="35"/>
      <c r="V44" s="35"/>
      <c r="W44" s="35"/>
      <c r="X44" s="31"/>
    </row>
    <row r="45" spans="2:41" ht="18">
      <c r="B45" s="64"/>
      <c r="C45" s="362">
        <v>2014</v>
      </c>
      <c r="D45" s="596">
        <v>2015</v>
      </c>
      <c r="E45" s="596"/>
      <c r="F45" s="362">
        <v>2016</v>
      </c>
      <c r="G45" s="516" t="s">
        <v>688</v>
      </c>
      <c r="H45" s="354">
        <f>VLOOKUP(Nom_service,'Assainissement_technique '!$A$2:$AX$17,33,FALSE)</f>
        <v>30</v>
      </c>
      <c r="I45" s="232"/>
      <c r="J45" s="232"/>
      <c r="L45" s="219"/>
      <c r="M45" s="219"/>
      <c r="N45" s="219"/>
      <c r="Q45" s="30"/>
      <c r="R45" s="30"/>
      <c r="S45" s="30"/>
      <c r="T45" s="36"/>
      <c r="U45" s="36"/>
      <c r="V45" s="36"/>
      <c r="W45" s="36"/>
      <c r="X45" s="31"/>
      <c r="AF45" s="129">
        <v>2016</v>
      </c>
      <c r="AG45" s="129">
        <v>2017</v>
      </c>
      <c r="AH45" s="129">
        <v>2018</v>
      </c>
      <c r="AI45" s="129">
        <v>2019</v>
      </c>
      <c r="AJ45" s="129">
        <v>2020</v>
      </c>
      <c r="AK45" s="129">
        <v>2021</v>
      </c>
      <c r="AL45" s="129">
        <v>2022</v>
      </c>
      <c r="AM45" s="129">
        <v>2023</v>
      </c>
      <c r="AN45" s="129">
        <v>2024</v>
      </c>
      <c r="AO45" s="129">
        <v>2025</v>
      </c>
    </row>
    <row r="46" spans="2:41" ht="30">
      <c r="B46" s="352" t="s">
        <v>33</v>
      </c>
      <c r="C46" s="457">
        <f>VLOOKUP(Nom_service,Financier_Ass!$A$3:$X$18,16,FALSE)</f>
        <v>154784.66000000003</v>
      </c>
      <c r="D46" s="600">
        <f>VLOOKUP(Nom_service,Financier_Ass!$A$3:$X$18,17,FALSE)</f>
        <v>154784.66000000003</v>
      </c>
      <c r="E46" s="601"/>
      <c r="F46" s="457">
        <f>VLOOKUP(Nom_service,Financier_Ass!$A$3:$X$18,18,FALSE)</f>
        <v>501841.39</v>
      </c>
      <c r="G46" s="516" t="s">
        <v>689</v>
      </c>
      <c r="H46" s="354" t="str">
        <f>VLOOKUP(Nom_service,'Assainissement_technique '!$A$2:$AX$17,50,FALSE)</f>
        <v>nc</v>
      </c>
      <c r="I46" s="349"/>
      <c r="J46" s="349"/>
      <c r="K46" s="349"/>
      <c r="L46" s="219"/>
      <c r="M46" s="219"/>
      <c r="N46" s="219"/>
      <c r="Q46" s="31"/>
      <c r="R46" s="31"/>
      <c r="S46" s="31"/>
      <c r="T46" s="31"/>
      <c r="U46" s="31"/>
      <c r="V46" s="31"/>
      <c r="W46" s="31"/>
      <c r="X46" s="31"/>
      <c r="Z46" s="28"/>
      <c r="AE46" s="307" t="s">
        <v>52</v>
      </c>
      <c r="AF46" s="74" t="e">
        <f>VLOOKUP(Nom_service,#REF!,2)</f>
        <v>#REF!</v>
      </c>
      <c r="AG46" s="74" t="e">
        <f>VLOOKUP(Nom_service,#REF!,3)</f>
        <v>#REF!</v>
      </c>
      <c r="AH46" s="74" t="e">
        <f>VLOOKUP(Nom_service,#REF!,4)</f>
        <v>#REF!</v>
      </c>
      <c r="AI46" s="74" t="e">
        <f>VLOOKUP(Nom_service,#REF!,5)</f>
        <v>#REF!</v>
      </c>
      <c r="AJ46" s="74" t="e">
        <f>VLOOKUP(Nom_service,#REF!,5)</f>
        <v>#REF!</v>
      </c>
      <c r="AK46" s="74" t="e">
        <f>VLOOKUP(Nom_service,#REF!,6)</f>
        <v>#REF!</v>
      </c>
      <c r="AL46" s="74" t="e">
        <f>VLOOKUP(Nom_service,#REF!,7)</f>
        <v>#REF!</v>
      </c>
      <c r="AM46" s="74" t="e">
        <f>VLOOKUP(Nom_service,#REF!,8)</f>
        <v>#REF!</v>
      </c>
      <c r="AN46" s="74" t="e">
        <f>VLOOKUP(Nom_service,#REF!,9)</f>
        <v>#REF!</v>
      </c>
      <c r="AO46" s="74" t="e">
        <f>VLOOKUP(Nom_service,#REF!,10)</f>
        <v>#REF!</v>
      </c>
    </row>
    <row r="47" spans="2:41" ht="31.5" customHeight="1">
      <c r="B47" s="352" t="s">
        <v>215</v>
      </c>
      <c r="C47" s="457">
        <f>VLOOKUP(Nom_service,Financier_Ass!$A$3:$X$18,19,FALSE)</f>
        <v>1982233.62</v>
      </c>
      <c r="D47" s="600">
        <f>VLOOKUP(Nom_service,Financier_Ass!$A$3:$X$18,20,FALSE)</f>
        <v>1982233.6199999999</v>
      </c>
      <c r="E47" s="601"/>
      <c r="F47" s="457">
        <f>VLOOKUP(Nom_service,Financier_Ass!$A$3:$X$18,21,FALSE)</f>
        <v>2935391.58</v>
      </c>
      <c r="G47" s="280" t="s">
        <v>208</v>
      </c>
      <c r="I47" s="280" t="s">
        <v>759</v>
      </c>
      <c r="J47" s="349"/>
      <c r="K47" s="349"/>
      <c r="L47" s="325"/>
      <c r="M47" s="325"/>
      <c r="N47" s="325"/>
      <c r="R47" s="37"/>
      <c r="S47" s="37"/>
      <c r="T47" s="37"/>
      <c r="U47" s="37"/>
      <c r="V47" s="37"/>
      <c r="W47" s="37"/>
      <c r="Z47" s="28"/>
      <c r="AE47" s="307" t="s">
        <v>53</v>
      </c>
      <c r="AF47" s="79" t="e">
        <f>VLOOKUP(Nom_service,#REF!,2)</f>
        <v>#REF!</v>
      </c>
      <c r="AG47" s="79" t="e">
        <f>VLOOKUP(Nom_service,#REF!,3)</f>
        <v>#REF!</v>
      </c>
      <c r="AH47" s="79" t="e">
        <f>VLOOKUP(Nom_service,#REF!,4)</f>
        <v>#REF!</v>
      </c>
      <c r="AI47" s="79" t="e">
        <f>VLOOKUP(Nom_service,#REF!,5)</f>
        <v>#REF!</v>
      </c>
      <c r="AJ47" s="79" t="e">
        <f>VLOOKUP(Nom_service,#REF!,6)</f>
        <v>#REF!</v>
      </c>
      <c r="AK47" s="79" t="e">
        <f>VLOOKUP(Nom_service,#REF!,7)</f>
        <v>#REF!</v>
      </c>
      <c r="AL47" s="79" t="e">
        <f>VLOOKUP(Nom_service,#REF!,8)</f>
        <v>#REF!</v>
      </c>
      <c r="AM47" s="79" t="e">
        <f>VLOOKUP(Nom_service,#REF!,9)</f>
        <v>#REF!</v>
      </c>
      <c r="AN47" s="79" t="e">
        <f>VLOOKUP(Nom_service,#REF!,10)</f>
        <v>#REF!</v>
      </c>
      <c r="AO47" s="79" t="e">
        <f>VLOOKUP(Nom_service,#REF!,11)</f>
        <v>#REF!</v>
      </c>
    </row>
    <row r="48" spans="2:41" ht="18.75">
      <c r="B48" s="352" t="s">
        <v>652</v>
      </c>
      <c r="C48" s="457">
        <f>VLOOKUP(Nom_service,Financier_Ass!$A$3:$X$18,22,FALSE)</f>
        <v>105158</v>
      </c>
      <c r="D48" s="600">
        <f>VLOOKUP(Nom_service,Financier_Ass!$A$3:$X$18,23,FALSE)</f>
        <v>105158</v>
      </c>
      <c r="E48" s="601"/>
      <c r="F48" s="457">
        <f>VLOOKUP(Nom_service,Financier_Ass!$A$3:$X$18,24,FALSE)</f>
        <v>2477983.52</v>
      </c>
      <c r="G48" s="593" t="str">
        <f>VLOOKUP(Nom_service,'Assainissement_technique '!$A$2:$AJ$17,35,FALSE)</f>
        <v>régie</v>
      </c>
      <c r="I48" s="594" t="str">
        <f>VLOOKUP(Nom_service,'Assainissement_technique '!$A$2:$AJ$17,36,FALSE)</f>
        <v>Manque de réseau d'eaux pluviales dans plusieurs zones de la commune - réseau unitaire insuffisant : déversements élevés, insuffisance des PR et du réseau (SD 2014) 
Création de réseau pluvial (1,3M€, 2016-2018)</v>
      </c>
      <c r="J48" s="594"/>
      <c r="K48" s="594"/>
      <c r="Q48" s="38" t="s">
        <v>11</v>
      </c>
      <c r="R48" s="38"/>
      <c r="S48" s="39" t="e">
        <f>VLOOKUP(#REF!,#REF!,11)</f>
        <v>#REF!</v>
      </c>
      <c r="T48" s="37"/>
      <c r="U48" s="37"/>
      <c r="V48" s="37"/>
      <c r="W48" s="37"/>
      <c r="Z48" s="40"/>
      <c r="AF48" s="78"/>
    </row>
    <row r="49" spans="2:26" ht="17.25">
      <c r="B49" s="352" t="s">
        <v>31</v>
      </c>
      <c r="C49" s="602" t="str">
        <f>VLOOKUP(Nom_service,Financier_Ass!$A$3:$Y$18,25,FALSE)</f>
        <v>Report important en 2016</v>
      </c>
      <c r="D49" s="603"/>
      <c r="E49" s="603"/>
      <c r="F49" s="604"/>
      <c r="G49" s="593"/>
      <c r="H49" s="349"/>
      <c r="I49" s="594"/>
      <c r="J49" s="594"/>
      <c r="K49" s="594"/>
      <c r="L49" s="65"/>
      <c r="M49" s="65"/>
      <c r="N49" s="65"/>
      <c r="Z49" s="40"/>
    </row>
    <row r="50" spans="2:26" ht="6.75" customHeight="1">
      <c r="B50" s="48"/>
      <c r="C50" s="274"/>
      <c r="D50" s="274"/>
      <c r="E50" s="274"/>
      <c r="F50" s="274"/>
      <c r="G50" s="593"/>
      <c r="H50" s="349"/>
      <c r="I50" s="594"/>
      <c r="J50" s="594"/>
      <c r="K50" s="594"/>
      <c r="L50" s="218"/>
      <c r="M50" s="218"/>
      <c r="N50" s="218"/>
      <c r="Z50" s="40"/>
    </row>
    <row r="51" spans="2:26" ht="17.25">
      <c r="B51" s="48"/>
      <c r="C51" s="274"/>
      <c r="D51" s="595" t="s">
        <v>653</v>
      </c>
      <c r="E51" s="595"/>
      <c r="F51" s="458" t="str">
        <f>VLOOKUP(Nom_service,Financier_Ass!$A$3:$Z$18,26,FALSE)</f>
        <v>Oui - Asst</v>
      </c>
      <c r="G51" s="593"/>
      <c r="H51" s="349"/>
      <c r="I51" s="594"/>
      <c r="J51" s="594"/>
      <c r="K51" s="594"/>
      <c r="L51" s="218"/>
      <c r="M51" s="218"/>
      <c r="N51" s="218"/>
      <c r="Z51" s="40"/>
    </row>
    <row r="52" spans="2:26" ht="18.75" customHeight="1">
      <c r="C52" s="28"/>
      <c r="D52" s="595" t="s">
        <v>613</v>
      </c>
      <c r="E52" s="595"/>
      <c r="F52" s="458" t="str">
        <f>VLOOKUP(Nom_service,Financier_Ass!$A$3:$N$18,11,FALSE)</f>
        <v>non</v>
      </c>
      <c r="G52" s="593"/>
      <c r="H52" s="349"/>
      <c r="I52" s="594"/>
      <c r="J52" s="594"/>
      <c r="K52" s="594"/>
      <c r="L52" s="65"/>
      <c r="M52" s="65"/>
      <c r="N52" s="65"/>
      <c r="Q52" s="37" t="s">
        <v>20</v>
      </c>
      <c r="R52" s="37"/>
      <c r="S52" s="307" t="e">
        <f>C9/C15</f>
        <v>#VALUE!</v>
      </c>
      <c r="Z52" s="40"/>
    </row>
    <row r="53" spans="2:26" ht="18.75" customHeight="1">
      <c r="C53" s="28"/>
      <c r="D53" s="595" t="s">
        <v>189</v>
      </c>
      <c r="E53" s="595"/>
      <c r="F53" s="458" t="str">
        <f>VLOOKUP(Nom_service,Financier_Ass!$A$3:$N$18,8,FALSE)</f>
        <v>Plus affecté en 2016</v>
      </c>
      <c r="G53" s="593"/>
      <c r="H53" s="349"/>
      <c r="I53" s="594"/>
      <c r="J53" s="594"/>
      <c r="K53" s="594"/>
      <c r="L53" s="65"/>
      <c r="M53" s="65"/>
      <c r="N53" s="65"/>
      <c r="Q53" s="37"/>
      <c r="R53" s="37"/>
      <c r="Z53" s="40"/>
    </row>
    <row r="54" spans="2:26" ht="18.75" customHeight="1">
      <c r="C54" s="28"/>
      <c r="D54" s="595" t="s">
        <v>221</v>
      </c>
      <c r="E54" s="595"/>
      <c r="F54" s="458" t="str">
        <f>VLOOKUP(Nom_service,Financier_Ass!$A$3:$N$18,7,FALSE)</f>
        <v>non</v>
      </c>
      <c r="G54" s="593"/>
      <c r="H54" s="349"/>
      <c r="I54" s="594"/>
      <c r="J54" s="594"/>
      <c r="K54" s="594"/>
      <c r="L54" s="221"/>
      <c r="M54" s="221"/>
      <c r="N54" s="221"/>
      <c r="Z54" s="28"/>
    </row>
    <row r="55" spans="2:26" ht="17.25" customHeight="1">
      <c r="C55" s="28"/>
      <c r="D55" s="595" t="s">
        <v>143</v>
      </c>
      <c r="E55" s="595"/>
      <c r="F55" s="459" t="str">
        <f>VLOOKUP(Nom_service,Financier_Ass!$A$3:$X$18,15)</f>
        <v>oui</v>
      </c>
      <c r="G55" s="593"/>
      <c r="H55" s="349"/>
      <c r="I55" s="594"/>
      <c r="J55" s="594"/>
      <c r="K55" s="594"/>
      <c r="L55" s="221"/>
      <c r="M55" s="221"/>
      <c r="N55" s="221"/>
      <c r="Z55" s="40"/>
    </row>
    <row r="56" spans="2:26" ht="6.75" customHeight="1">
      <c r="G56" s="593"/>
      <c r="H56" s="349"/>
      <c r="I56" s="594"/>
      <c r="J56" s="594"/>
      <c r="K56" s="594"/>
      <c r="L56" s="221"/>
      <c r="M56" s="221"/>
      <c r="N56" s="221"/>
      <c r="Z56" s="40"/>
    </row>
    <row r="57" spans="2:26" ht="20.25">
      <c r="B57" s="590" t="s">
        <v>204</v>
      </c>
      <c r="C57" s="590"/>
      <c r="D57" s="590"/>
      <c r="E57" s="590"/>
      <c r="F57" s="590"/>
      <c r="G57" s="593"/>
      <c r="H57" s="349"/>
      <c r="I57" s="594"/>
      <c r="J57" s="594"/>
      <c r="K57" s="594"/>
      <c r="L57" s="221"/>
      <c r="M57" s="221"/>
      <c r="N57" s="221"/>
      <c r="Z57" s="28"/>
    </row>
    <row r="58" spans="2:26" ht="3.75" customHeight="1">
      <c r="B58" s="76"/>
      <c r="C58" s="76"/>
      <c r="D58" s="76"/>
      <c r="E58" s="76"/>
      <c r="F58" s="76"/>
      <c r="G58" s="593"/>
      <c r="H58" s="349"/>
      <c r="I58" s="594"/>
      <c r="J58" s="594"/>
      <c r="K58" s="594"/>
      <c r="L58" s="221"/>
      <c r="M58" s="221"/>
      <c r="N58" s="221"/>
      <c r="Z58" s="28"/>
    </row>
    <row r="59" spans="2:26" ht="50.25" customHeight="1">
      <c r="B59" s="349" t="s">
        <v>291</v>
      </c>
      <c r="C59" s="598" t="str">
        <f>VLOOKUP(Nom_service,Juridique_Ass!$A$2:$AE$17,31,FALSE)</f>
        <v>Absence de part fixe sur la composante assainissement</v>
      </c>
      <c r="D59" s="598"/>
      <c r="E59" s="598"/>
      <c r="F59" s="598"/>
      <c r="G59" s="593"/>
      <c r="H59" s="349"/>
      <c r="I59" s="594"/>
      <c r="J59" s="594"/>
      <c r="K59" s="594"/>
      <c r="L59" s="356"/>
      <c r="M59" s="221"/>
      <c r="N59" s="221"/>
      <c r="Z59" s="28"/>
    </row>
    <row r="60" spans="2:26" s="318" customFormat="1" ht="3.75" customHeight="1">
      <c r="B60" s="460"/>
      <c r="C60" s="461"/>
      <c r="D60" s="461"/>
      <c r="E60" s="461"/>
      <c r="F60" s="461"/>
      <c r="L60" s="356"/>
      <c r="M60" s="221"/>
      <c r="N60" s="221"/>
      <c r="Z60" s="462"/>
    </row>
    <row r="61" spans="2:26" ht="17.25">
      <c r="B61" s="363" t="s">
        <v>46</v>
      </c>
      <c r="C61" s="364"/>
      <c r="D61" s="28"/>
      <c r="E61" s="363" t="s">
        <v>160</v>
      </c>
      <c r="F61" s="363"/>
      <c r="L61" s="221"/>
      <c r="M61" s="221"/>
      <c r="N61" s="221"/>
      <c r="Z61" s="28"/>
    </row>
    <row r="62" spans="2:26" ht="17.25" customHeight="1">
      <c r="B62" s="72" t="s">
        <v>49</v>
      </c>
      <c r="C62" s="270">
        <f>VLOOKUP(Nom_service,Juridique_Ass!$A$2:$AE$17,13,FALSE)</f>
        <v>0</v>
      </c>
      <c r="D62" s="28"/>
      <c r="E62" s="73" t="s">
        <v>700</v>
      </c>
      <c r="F62" s="512">
        <f>VLOOKUP(Nom_service,Juridique_Ass!$A$2:$AE$17,19,FALSE)</f>
        <v>0.30064000000000007</v>
      </c>
      <c r="L62" s="221"/>
      <c r="M62" s="221"/>
      <c r="N62" s="221"/>
      <c r="Z62" s="28"/>
    </row>
    <row r="63" spans="2:26" ht="17.25">
      <c r="B63" s="73" t="s">
        <v>50</v>
      </c>
      <c r="C63" s="512">
        <f>VLOOKUP(Nom_service,Juridique_Ass!$A$2:$AE$17,14,FALSE)</f>
        <v>1.9663999999999999</v>
      </c>
      <c r="D63" s="28"/>
      <c r="E63" s="487"/>
      <c r="F63" s="472"/>
      <c r="L63" s="221"/>
      <c r="M63" s="221"/>
      <c r="N63" s="221"/>
      <c r="Z63" s="28"/>
    </row>
    <row r="64" spans="2:26" ht="18.75">
      <c r="B64" s="365" t="s">
        <v>47</v>
      </c>
      <c r="C64" s="366"/>
      <c r="D64" s="28"/>
      <c r="E64" s="28"/>
      <c r="F64" s="28"/>
      <c r="R64" s="38"/>
      <c r="S64" s="38"/>
      <c r="T64" s="38"/>
      <c r="U64" s="37"/>
      <c r="V64" s="37"/>
      <c r="X64" s="37"/>
      <c r="Y64" s="37"/>
      <c r="Z64" s="28"/>
    </row>
    <row r="65" spans="2:26" ht="20.25">
      <c r="B65" s="73" t="s">
        <v>205</v>
      </c>
      <c r="C65" s="270">
        <f>VLOOKUP(Nom_service,Juridique_Ass!$A$2:$AE$17,15,FALSE)</f>
        <v>0</v>
      </c>
      <c r="D65" s="28"/>
      <c r="E65" s="568" t="s">
        <v>373</v>
      </c>
      <c r="F65" s="599">
        <f>VLOOKUP(Nom_service,Juridique_Ass!$A$1:$AE$17,18,FALSE)</f>
        <v>3.3070400000000006</v>
      </c>
      <c r="L65" s="325"/>
      <c r="M65" s="325"/>
      <c r="N65" s="325"/>
      <c r="R65" s="38"/>
      <c r="S65" s="38"/>
      <c r="T65" s="38"/>
      <c r="U65" s="37"/>
      <c r="V65" s="37"/>
      <c r="X65" s="37"/>
      <c r="Y65" s="37"/>
      <c r="Z65" s="28"/>
    </row>
    <row r="66" spans="2:26" ht="18.75">
      <c r="B66" s="73" t="s">
        <v>51</v>
      </c>
      <c r="C66" s="512">
        <f>VLOOKUP(Nom_service,Juridique_Ass!$A$2:$AE$17,16,FALSE)</f>
        <v>0.88</v>
      </c>
      <c r="D66" s="28"/>
      <c r="E66" s="568"/>
      <c r="F66" s="599"/>
      <c r="L66" s="232"/>
      <c r="M66" s="232"/>
      <c r="N66" s="232"/>
      <c r="R66" s="38"/>
      <c r="S66" s="38"/>
      <c r="T66" s="38"/>
      <c r="U66" s="37"/>
      <c r="V66" s="37"/>
      <c r="X66" s="37"/>
      <c r="Y66" s="37"/>
      <c r="Z66" s="28"/>
    </row>
    <row r="67" spans="2:26" ht="18.75">
      <c r="B67" s="365" t="s">
        <v>340</v>
      </c>
      <c r="C67" s="367"/>
      <c r="D67" s="28"/>
      <c r="E67" s="72"/>
      <c r="F67" s="28"/>
      <c r="L67" s="232"/>
      <c r="M67" s="232"/>
      <c r="N67" s="232"/>
      <c r="R67" s="38"/>
      <c r="S67" s="38"/>
      <c r="T67" s="38"/>
      <c r="U67" s="37"/>
      <c r="V67" s="37"/>
      <c r="X67" s="37"/>
      <c r="Y67" s="37"/>
      <c r="Z67" s="28"/>
    </row>
    <row r="68" spans="2:26" ht="33" customHeight="1">
      <c r="B68" s="73" t="s">
        <v>339</v>
      </c>
      <c r="C68" s="513">
        <f>VLOOKUP(Nom_service,Juridique_Ass!$A$2:$AE$17,17,FALSE)</f>
        <v>0.16</v>
      </c>
      <c r="D68" s="28"/>
      <c r="E68" s="486" t="s">
        <v>194</v>
      </c>
      <c r="F68" s="531">
        <f>IF(VLOOKUP(Nom_service,Juridique_Ass!$A$2:$Y$17,25,FALSE)=0,"Non",VLOOKUP(Nom_service,Juridique_Ass!$A$2:$Y$17,25,FALSE))</f>
        <v>20</v>
      </c>
      <c r="L68" s="232"/>
      <c r="M68" s="232"/>
      <c r="N68" s="232"/>
      <c r="R68" s="38"/>
      <c r="S68" s="38"/>
      <c r="T68" s="38"/>
      <c r="U68" s="37"/>
      <c r="V68" s="37"/>
      <c r="X68" s="37"/>
      <c r="Y68" s="37"/>
      <c r="Z68" s="28"/>
    </row>
    <row r="69" spans="2:26" ht="35.25" customHeight="1">
      <c r="B69" s="75"/>
      <c r="C69" s="75"/>
      <c r="D69" s="75"/>
      <c r="E69" s="75"/>
      <c r="F69" s="75"/>
      <c r="G69" s="589"/>
      <c r="H69" s="589"/>
      <c r="I69" s="325"/>
      <c r="J69" s="325"/>
      <c r="K69" s="325"/>
      <c r="L69" s="325"/>
      <c r="M69" s="325"/>
      <c r="N69" s="325"/>
      <c r="R69" s="38"/>
      <c r="S69" s="38"/>
      <c r="T69" s="38"/>
      <c r="U69" s="37"/>
      <c r="V69" s="37"/>
      <c r="X69" s="37"/>
      <c r="Y69" s="37"/>
      <c r="Z69" s="28"/>
    </row>
    <row r="70" spans="2:26" ht="28.5">
      <c r="B70" s="77"/>
      <c r="C70" s="77"/>
      <c r="D70" s="77"/>
      <c r="E70" s="77"/>
      <c r="F70" s="77"/>
      <c r="O70" s="77"/>
      <c r="P70" s="77"/>
      <c r="Q70" s="77"/>
      <c r="R70" s="77"/>
      <c r="S70" s="38"/>
      <c r="T70" s="38"/>
      <c r="U70" s="37"/>
      <c r="V70" s="37"/>
      <c r="X70" s="37"/>
      <c r="Y70" s="37"/>
      <c r="Z70" s="28"/>
    </row>
    <row r="71" spans="2:26" ht="28.5">
      <c r="B71" s="77"/>
      <c r="C71" s="77"/>
      <c r="D71" s="77"/>
      <c r="E71" s="77"/>
      <c r="F71" s="77"/>
      <c r="O71" s="77"/>
      <c r="P71" s="77"/>
      <c r="Q71" s="77"/>
      <c r="R71" s="77"/>
      <c r="U71" s="37"/>
      <c r="V71" s="37"/>
      <c r="X71" s="37"/>
      <c r="Y71" s="37"/>
      <c r="Z71" s="28"/>
    </row>
    <row r="72" spans="2:26" ht="20.25">
      <c r="B72" s="75"/>
      <c r="C72" s="75"/>
      <c r="D72" s="75"/>
      <c r="E72" s="75"/>
      <c r="F72" s="75"/>
      <c r="O72" s="75"/>
      <c r="P72" s="71"/>
      <c r="Q72" s="71"/>
    </row>
    <row r="76" spans="2:26" ht="17.25">
      <c r="D76" s="41"/>
      <c r="E76" s="41"/>
      <c r="F76" s="41"/>
    </row>
    <row r="77" spans="2:26" ht="17.25">
      <c r="D77" s="41"/>
      <c r="E77" s="41"/>
      <c r="F77" s="41"/>
    </row>
    <row r="78" spans="2:26" ht="17.25" outlineLevel="1">
      <c r="D78" s="41"/>
      <c r="E78" s="41"/>
      <c r="F78" s="41"/>
    </row>
    <row r="79" spans="2:26" ht="17.25" outlineLevel="1">
      <c r="D79" s="41"/>
      <c r="E79" s="41"/>
      <c r="F79" s="41"/>
    </row>
    <row r="80" spans="2:26" ht="17.25" outlineLevel="1">
      <c r="B80" s="41"/>
      <c r="C80" s="41"/>
      <c r="D80" s="41"/>
      <c r="E80" s="41"/>
      <c r="F80" s="41"/>
    </row>
    <row r="81" spans="2:14" ht="17.25" outlineLevel="1">
      <c r="B81" s="41"/>
      <c r="C81" s="41"/>
      <c r="D81" s="41"/>
      <c r="E81" s="41"/>
      <c r="F81" s="41"/>
    </row>
    <row r="82" spans="2:14" ht="17.25" outlineLevel="1">
      <c r="B82" s="41"/>
      <c r="C82" s="41"/>
      <c r="D82" s="41"/>
      <c r="E82" s="41"/>
      <c r="F82" s="41"/>
    </row>
    <row r="83" spans="2:14" outlineLevel="1"/>
    <row r="84" spans="2:14" ht="17.25" outlineLevel="1">
      <c r="B84" s="41"/>
      <c r="C84" s="41"/>
      <c r="D84" s="41"/>
      <c r="E84" s="41"/>
      <c r="F84" s="41"/>
    </row>
    <row r="85" spans="2:14" ht="17.25" outlineLevel="1">
      <c r="B85" s="41"/>
      <c r="C85" s="41"/>
      <c r="D85" s="41"/>
      <c r="E85" s="41"/>
      <c r="F85" s="41"/>
    </row>
    <row r="86" spans="2:14" ht="30.75" outlineLevel="1">
      <c r="B86" s="42"/>
      <c r="C86" s="42"/>
      <c r="D86" s="42"/>
      <c r="E86" s="42"/>
      <c r="F86" s="42"/>
    </row>
    <row r="87" spans="2:14" ht="30.75" outlineLevel="1">
      <c r="B87" s="42"/>
      <c r="C87" s="42"/>
      <c r="D87" s="42"/>
      <c r="E87" s="42"/>
      <c r="F87" s="42"/>
      <c r="G87" s="590"/>
      <c r="H87" s="590"/>
      <c r="I87" s="325"/>
      <c r="J87" s="325"/>
      <c r="K87" s="325"/>
      <c r="L87" s="325"/>
      <c r="M87" s="325"/>
      <c r="N87" s="325"/>
    </row>
    <row r="88" spans="2:14" ht="30.75" outlineLevel="1">
      <c r="B88" s="42"/>
      <c r="C88" s="42"/>
      <c r="D88" s="42"/>
      <c r="E88" s="42"/>
      <c r="F88" s="42"/>
    </row>
    <row r="89" spans="2:14" ht="30.75" outlineLevel="1">
      <c r="B89" s="42"/>
      <c r="C89" s="42"/>
      <c r="D89" s="42"/>
      <c r="E89" s="42"/>
      <c r="F89" s="42"/>
    </row>
    <row r="90" spans="2:14" ht="25.5" customHeight="1" outlineLevel="1">
      <c r="B90" s="43"/>
      <c r="C90" s="42"/>
      <c r="D90" s="42"/>
      <c r="E90" s="42"/>
      <c r="F90" s="42"/>
    </row>
    <row r="91" spans="2:14" outlineLevel="1"/>
    <row r="92" spans="2:14" outlineLevel="1"/>
    <row r="93" spans="2:14" outlineLevel="1"/>
    <row r="94" spans="2:14" outlineLevel="1"/>
    <row r="95" spans="2:14" outlineLevel="1"/>
    <row r="96" spans="2:14" outlineLevel="1"/>
    <row r="97" spans="2:6" outlineLevel="1"/>
    <row r="98" spans="2:6" outlineLevel="1"/>
    <row r="99" spans="2:6" outlineLevel="1"/>
    <row r="100" spans="2:6" outlineLevel="1"/>
    <row r="101" spans="2:6" ht="30.75" outlineLevel="1">
      <c r="B101" s="43"/>
      <c r="C101" s="42"/>
      <c r="D101" s="42"/>
      <c r="E101" s="42"/>
      <c r="F101" s="42"/>
    </row>
    <row r="102" spans="2:6" ht="30.75" outlineLevel="1">
      <c r="B102" s="43"/>
      <c r="C102" s="43"/>
      <c r="D102" s="43"/>
      <c r="E102" s="43"/>
      <c r="F102" s="43"/>
    </row>
    <row r="103" spans="2:6" ht="30.75" outlineLevel="1">
      <c r="B103" s="43"/>
      <c r="C103" s="43"/>
      <c r="D103" s="43"/>
      <c r="E103" s="43"/>
      <c r="F103" s="43"/>
    </row>
    <row r="104" spans="2:6" ht="30.75" outlineLevel="1">
      <c r="C104" s="43"/>
      <c r="D104" s="43"/>
      <c r="E104" s="43"/>
      <c r="F104" s="43"/>
    </row>
    <row r="105" spans="2:6" ht="30.75" outlineLevel="1">
      <c r="C105" s="43"/>
      <c r="D105" s="43"/>
      <c r="E105" s="43"/>
      <c r="F105" s="43"/>
    </row>
    <row r="125" ht="13.5" customHeight="1"/>
    <row r="126" ht="13.5" customHeight="1"/>
    <row r="127" ht="13.5" customHeight="1"/>
    <row r="128" ht="13.5" customHeight="1"/>
    <row r="129" spans="7:14" ht="13.5" customHeight="1"/>
    <row r="130" spans="7:14" ht="13.5" customHeight="1"/>
    <row r="131" spans="7:14" ht="13.5" customHeight="1"/>
    <row r="140" spans="7:14" ht="16.5">
      <c r="H140" s="80"/>
      <c r="I140" s="80"/>
      <c r="J140" s="80"/>
      <c r="K140" s="80"/>
      <c r="L140" s="80"/>
      <c r="M140" s="80"/>
      <c r="N140" s="80"/>
    </row>
    <row r="141" spans="7:14" ht="16.5">
      <c r="G141" s="80"/>
      <c r="H141" s="80"/>
      <c r="I141" s="80"/>
      <c r="J141" s="80"/>
      <c r="K141" s="80"/>
      <c r="L141" s="80"/>
      <c r="M141" s="80"/>
      <c r="N141" s="80"/>
    </row>
    <row r="142" spans="7:14" ht="16.5">
      <c r="G142" s="80"/>
      <c r="H142" s="80"/>
      <c r="I142" s="80"/>
      <c r="J142" s="80"/>
      <c r="K142" s="80"/>
      <c r="L142" s="80"/>
      <c r="M142" s="80"/>
      <c r="N142" s="80"/>
    </row>
    <row r="143" spans="7:14" ht="16.5">
      <c r="G143" s="80"/>
      <c r="H143" s="80"/>
      <c r="I143" s="80"/>
      <c r="J143" s="80"/>
      <c r="K143" s="80"/>
      <c r="L143" s="80"/>
      <c r="M143" s="80"/>
      <c r="N143" s="80"/>
    </row>
    <row r="144" spans="7:14" ht="16.5">
      <c r="G144" s="130" t="s">
        <v>54</v>
      </c>
      <c r="H144" s="80"/>
      <c r="I144" s="80"/>
      <c r="J144" s="80"/>
      <c r="K144" s="80"/>
      <c r="L144" s="80"/>
      <c r="M144" s="80"/>
      <c r="N144" s="80"/>
    </row>
    <row r="145" spans="7:14" ht="16.5">
      <c r="G145" s="81" t="e">
        <f>VLOOKUP(Nom_service,#REF!,12)</f>
        <v>#REF!</v>
      </c>
      <c r="H145" s="81"/>
      <c r="I145" s="81"/>
      <c r="J145" s="81"/>
      <c r="K145" s="81"/>
      <c r="L145" s="81"/>
      <c r="M145" s="81"/>
      <c r="N145" s="81"/>
    </row>
    <row r="146" spans="7:14" ht="16.5">
      <c r="G146" s="81"/>
      <c r="H146" s="81"/>
      <c r="I146" s="81"/>
      <c r="J146" s="81"/>
      <c r="K146" s="81"/>
      <c r="L146" s="81"/>
      <c r="M146" s="81"/>
      <c r="N146" s="81"/>
    </row>
  </sheetData>
  <mergeCells count="48">
    <mergeCell ref="H16:K16"/>
    <mergeCell ref="H18:K19"/>
    <mergeCell ref="H12:K12"/>
    <mergeCell ref="H14:K14"/>
    <mergeCell ref="B3:F4"/>
    <mergeCell ref="G3:K4"/>
    <mergeCell ref="G5:K5"/>
    <mergeCell ref="H7:K7"/>
    <mergeCell ref="H10:K10"/>
    <mergeCell ref="H8:K9"/>
    <mergeCell ref="F13:F14"/>
    <mergeCell ref="B5:E5"/>
    <mergeCell ref="F20:F22"/>
    <mergeCell ref="G23:G28"/>
    <mergeCell ref="I23:J23"/>
    <mergeCell ref="I26:K28"/>
    <mergeCell ref="B28:C28"/>
    <mergeCell ref="E28:F28"/>
    <mergeCell ref="G21:K21"/>
    <mergeCell ref="K23:K25"/>
    <mergeCell ref="C22:C25"/>
    <mergeCell ref="E20:E22"/>
    <mergeCell ref="B27:E27"/>
    <mergeCell ref="E65:E66"/>
    <mergeCell ref="F65:F66"/>
    <mergeCell ref="D46:E46"/>
    <mergeCell ref="D47:E47"/>
    <mergeCell ref="D48:E48"/>
    <mergeCell ref="C49:F49"/>
    <mergeCell ref="D52:E52"/>
    <mergeCell ref="D53:E53"/>
    <mergeCell ref="D54:E54"/>
    <mergeCell ref="D55:E55"/>
    <mergeCell ref="B57:F57"/>
    <mergeCell ref="C59:F59"/>
    <mergeCell ref="D51:E51"/>
    <mergeCell ref="G29:K29"/>
    <mergeCell ref="C41:F41"/>
    <mergeCell ref="B43:F43"/>
    <mergeCell ref="D45:E45"/>
    <mergeCell ref="B36:B37"/>
    <mergeCell ref="C36:F37"/>
    <mergeCell ref="G69:H69"/>
    <mergeCell ref="G87:H87"/>
    <mergeCell ref="H36:K38"/>
    <mergeCell ref="G41:K41"/>
    <mergeCell ref="G48:G59"/>
    <mergeCell ref="I48:K59"/>
  </mergeCells>
  <conditionalFormatting sqref="C46:D46 D47:D48 C48 D50 F50">
    <cfRule type="cellIs" dxfId="12" priority="17" operator="lessThan">
      <formula>0</formula>
    </cfRule>
  </conditionalFormatting>
  <conditionalFormatting sqref="C47">
    <cfRule type="cellIs" dxfId="11" priority="15" operator="lessThan">
      <formula>0</formula>
    </cfRule>
  </conditionalFormatting>
  <conditionalFormatting sqref="F54">
    <cfRule type="cellIs" dxfId="10" priority="12" operator="lessThan">
      <formula>0</formula>
    </cfRule>
  </conditionalFormatting>
  <conditionalFormatting sqref="C49:C51">
    <cfRule type="cellIs" dxfId="9" priority="16" operator="lessThan">
      <formula>0</formula>
    </cfRule>
  </conditionalFormatting>
  <conditionalFormatting sqref="F55">
    <cfRule type="cellIs" dxfId="8" priority="10" operator="lessThan">
      <formula>0</formula>
    </cfRule>
  </conditionalFormatting>
  <conditionalFormatting sqref="F52:F54">
    <cfRule type="cellIs" dxfId="7" priority="14" operator="lessThan">
      <formula>0</formula>
    </cfRule>
  </conditionalFormatting>
  <conditionalFormatting sqref="F46:F48">
    <cfRule type="cellIs" dxfId="6" priority="2" operator="lessThan">
      <formula>0</formula>
    </cfRule>
  </conditionalFormatting>
  <conditionalFormatting sqref="F51">
    <cfRule type="cellIs" dxfId="5" priority="1" operator="lessThan">
      <formula>0</formula>
    </cfRule>
  </conditionalFormatting>
  <printOptions horizontalCentered="1"/>
  <pageMargins left="0.19685039370078741" right="0.19685039370078741" top="0.39370078740157483" bottom="0.39370078740157483" header="0.19685039370078741" footer="0.19685039370078741"/>
  <pageSetup paperSize="9" scale="55" fitToHeight="0" orientation="portrait" r:id="rId1"/>
  <rowBreaks count="1" manualBreakCount="1">
    <brk id="68" max="16383" man="1"/>
  </rowBreaks>
  <colBreaks count="2" manualBreakCount="2">
    <brk id="6" max="1048575" man="1"/>
    <brk id="14" min="2" max="60" man="1"/>
  </col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Button 1">
              <controlPr defaultSize="0" print="0" autoFill="0" autoPict="0" macro="[0]!Imprimer" altText="Imprimer PDF">
                <anchor moveWithCells="1" sizeWithCells="1">
                  <from>
                    <xdr:col>2</xdr:col>
                    <xdr:colOff>1504950</xdr:colOff>
                    <xdr:row>0</xdr:row>
                    <xdr:rowOff>200025</xdr:rowOff>
                  </from>
                  <to>
                    <xdr:col>4</xdr:col>
                    <xdr:colOff>304800</xdr:colOff>
                    <xdr:row>1</xdr:row>
                    <xdr:rowOff>57150</xdr:rowOff>
                  </to>
                </anchor>
              </controlPr>
            </control>
          </mc:Choice>
        </mc:AlternateContent>
        <mc:AlternateContent xmlns:mc="http://schemas.openxmlformats.org/markup-compatibility/2006">
          <mc:Choice Requires="x14">
            <control shapeId="206850" r:id="rId5" name="Button 2">
              <controlPr defaultSize="0" print="0" autoFill="0" autoPict="0" macro="[0]!image">
                <anchor moveWithCells="1" sizeWithCells="1">
                  <from>
                    <xdr:col>11</xdr:col>
                    <xdr:colOff>0</xdr:colOff>
                    <xdr:row>70</xdr:row>
                    <xdr:rowOff>76200</xdr:rowOff>
                  </from>
                  <to>
                    <xdr:col>11</xdr:col>
                    <xdr:colOff>0</xdr:colOff>
                    <xdr:row>75</xdr:row>
                    <xdr:rowOff>38100</xdr:rowOff>
                  </to>
                </anchor>
              </controlPr>
            </control>
          </mc:Choice>
        </mc:AlternateContent>
        <mc:AlternateContent xmlns:mc="http://schemas.openxmlformats.org/markup-compatibility/2006">
          <mc:Choice Requires="x14">
            <control shapeId="206851" r:id="rId6" name="Button 3">
              <controlPr defaultSize="0" print="0" autoFill="0" autoPict="0" macro="[0]!selection_commune">
                <anchor moveWithCells="1" sizeWithCells="1">
                  <from>
                    <xdr:col>11</xdr:col>
                    <xdr:colOff>0</xdr:colOff>
                    <xdr:row>78</xdr:row>
                    <xdr:rowOff>190500</xdr:rowOff>
                  </from>
                  <to>
                    <xdr:col>11</xdr:col>
                    <xdr:colOff>0</xdr:colOff>
                    <xdr:row>82</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Title="Nom_Service">
          <x14:formula1>
            <xm:f>Liste_services!#REF!</xm:f>
          </x14:formula1>
          <xm:sqref>D1</xm:sqref>
        </x14:dataValidation>
        <x14:dataValidation type="list" allowBlank="1" showInputMessage="1" showErrorMessage="1" promptTitle="Nom_Service">
          <x14:formula1>
            <xm:f>Liste_services!$A$2:$A$60</xm:f>
          </x14:formula1>
          <xm:sqref>B3:F4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597307"/>
  </sheetPr>
  <dimension ref="A1:AR17"/>
  <sheetViews>
    <sheetView zoomScale="80" zoomScaleNormal="80" workbookViewId="0">
      <pane xSplit="1" ySplit="2" topLeftCell="AB15" activePane="bottomRight" state="frozen"/>
      <selection pane="topRight" activeCell="B1" sqref="B1"/>
      <selection pane="bottomLeft" activeCell="A2" sqref="A2"/>
      <selection pane="bottomRight" activeCell="C3" sqref="C3:AF17"/>
    </sheetView>
  </sheetViews>
  <sheetFormatPr baseColWidth="10" defaultRowHeight="14.25"/>
  <cols>
    <col min="1" max="1" width="23.42578125" style="156" bestFit="1" customWidth="1"/>
    <col min="2" max="2" width="23.140625" style="156" customWidth="1"/>
    <col min="3" max="3" width="11.7109375" style="156" customWidth="1"/>
    <col min="4" max="4" width="12.140625" style="156" customWidth="1"/>
    <col min="5" max="5" width="12.140625" style="155" customWidth="1"/>
    <col min="6" max="6" width="11.42578125" style="155" customWidth="1"/>
    <col min="7" max="7" width="16.28515625" style="155" customWidth="1"/>
    <col min="8" max="8" width="12.5703125" style="155" customWidth="1"/>
    <col min="9" max="9" width="17" style="156" customWidth="1"/>
    <col min="10" max="10" width="14.140625" style="156" customWidth="1"/>
    <col min="11" max="11" width="12.5703125" style="156" customWidth="1"/>
    <col min="12" max="14" width="11.42578125" style="156" customWidth="1"/>
    <col min="15" max="15" width="14" style="156" customWidth="1"/>
    <col min="16" max="16" width="15.85546875" style="540" customWidth="1"/>
    <col min="17" max="17" width="11.42578125" style="156" customWidth="1"/>
    <col min="18" max="18" width="17.7109375" style="156" bestFit="1" customWidth="1"/>
    <col min="19" max="19" width="13.140625" style="156" customWidth="1"/>
    <col min="20" max="20" width="19" style="156" hidden="1" customWidth="1"/>
    <col min="21" max="21" width="11.42578125" style="156" customWidth="1"/>
    <col min="22" max="22" width="18.42578125" style="156" customWidth="1"/>
    <col min="23" max="23" width="12.28515625" style="156" bestFit="1" customWidth="1"/>
    <col min="24" max="24" width="8.7109375" style="156" bestFit="1" customWidth="1"/>
    <col min="25" max="25" width="19.85546875" style="156" bestFit="1" customWidth="1"/>
    <col min="26" max="26" width="18.42578125" style="156" customWidth="1"/>
    <col min="27" max="28" width="40" style="156" customWidth="1"/>
    <col min="29" max="29" width="15.5703125" style="156" customWidth="1"/>
    <col min="30" max="30" width="34.28515625" style="156" customWidth="1"/>
    <col min="31" max="31" width="34.140625" style="156" customWidth="1"/>
    <col min="32" max="32" width="27.85546875" style="156" customWidth="1"/>
    <col min="33" max="16384" width="11.42578125" style="156"/>
  </cols>
  <sheetData>
    <row r="1" spans="1:44">
      <c r="A1" s="155">
        <v>1</v>
      </c>
      <c r="B1" s="155">
        <v>2</v>
      </c>
      <c r="C1" s="155">
        <v>3</v>
      </c>
      <c r="D1" s="155">
        <v>4</v>
      </c>
      <c r="E1" s="155">
        <v>5</v>
      </c>
      <c r="F1" s="155">
        <v>6</v>
      </c>
      <c r="G1" s="155">
        <v>7</v>
      </c>
      <c r="H1" s="155">
        <v>8</v>
      </c>
      <c r="I1" s="155">
        <v>9</v>
      </c>
      <c r="J1" s="155">
        <v>10</v>
      </c>
      <c r="K1" s="155">
        <v>11</v>
      </c>
      <c r="L1" s="155">
        <v>12</v>
      </c>
      <c r="M1" s="155">
        <v>13</v>
      </c>
      <c r="N1" s="155">
        <v>14</v>
      </c>
      <c r="O1" s="155">
        <v>15</v>
      </c>
      <c r="P1" s="155">
        <v>16</v>
      </c>
      <c r="Q1" s="155">
        <v>17</v>
      </c>
      <c r="R1" s="155">
        <v>18</v>
      </c>
      <c r="S1" s="155">
        <v>19</v>
      </c>
      <c r="T1" s="155">
        <v>20</v>
      </c>
      <c r="U1" s="155">
        <v>21</v>
      </c>
      <c r="V1" s="155">
        <v>22</v>
      </c>
      <c r="W1" s="155">
        <v>23</v>
      </c>
      <c r="X1" s="155">
        <v>24</v>
      </c>
      <c r="Y1" s="155">
        <v>25</v>
      </c>
      <c r="Z1" s="155">
        <v>26</v>
      </c>
      <c r="AA1" s="155">
        <v>27</v>
      </c>
      <c r="AB1" s="155">
        <v>28</v>
      </c>
      <c r="AC1" s="155">
        <v>29</v>
      </c>
      <c r="AD1" s="155">
        <v>30</v>
      </c>
      <c r="AE1" s="155">
        <v>31</v>
      </c>
      <c r="AF1" s="155">
        <v>32</v>
      </c>
    </row>
    <row r="2" spans="1:44" ht="54" customHeight="1">
      <c r="A2" s="107" t="s">
        <v>4</v>
      </c>
      <c r="B2" s="107" t="s">
        <v>67</v>
      </c>
      <c r="C2" s="107" t="s">
        <v>35</v>
      </c>
      <c r="D2" s="107" t="s">
        <v>174</v>
      </c>
      <c r="E2" s="107" t="s">
        <v>68</v>
      </c>
      <c r="F2" s="107" t="s">
        <v>164</v>
      </c>
      <c r="G2" s="107" t="s">
        <v>163</v>
      </c>
      <c r="H2" s="107" t="s">
        <v>166</v>
      </c>
      <c r="I2" s="107" t="s">
        <v>86</v>
      </c>
      <c r="J2" s="107" t="s">
        <v>85</v>
      </c>
      <c r="K2" s="107" t="s">
        <v>84</v>
      </c>
      <c r="L2" s="542" t="s">
        <v>79</v>
      </c>
      <c r="M2" s="542" t="s">
        <v>69</v>
      </c>
      <c r="N2" s="542" t="s">
        <v>70</v>
      </c>
      <c r="O2" s="542" t="s">
        <v>71</v>
      </c>
      <c r="P2" s="543" t="s">
        <v>72</v>
      </c>
      <c r="Q2" s="542" t="s">
        <v>73</v>
      </c>
      <c r="R2" s="544" t="s">
        <v>74</v>
      </c>
      <c r="S2" s="542" t="s">
        <v>663</v>
      </c>
      <c r="T2" s="541"/>
      <c r="U2" s="107" t="s">
        <v>81</v>
      </c>
      <c r="V2" s="107" t="s">
        <v>82</v>
      </c>
      <c r="W2" s="107" t="s">
        <v>124</v>
      </c>
      <c r="X2" s="107" t="s">
        <v>123</v>
      </c>
      <c r="Y2" s="107" t="s">
        <v>374</v>
      </c>
      <c r="Z2" s="107" t="s">
        <v>160</v>
      </c>
      <c r="AA2" s="107" t="s">
        <v>80</v>
      </c>
      <c r="AB2" s="107" t="s">
        <v>209</v>
      </c>
      <c r="AC2" s="107" t="s">
        <v>227</v>
      </c>
      <c r="AD2" s="107" t="s">
        <v>323</v>
      </c>
      <c r="AE2" s="107" t="s">
        <v>338</v>
      </c>
      <c r="AF2" s="107" t="s">
        <v>293</v>
      </c>
    </row>
    <row r="3" spans="1:44" s="89" customFormat="1" ht="57">
      <c r="A3" s="107" t="str">
        <f>+Liste_services!A4</f>
        <v>Beausoleil</v>
      </c>
      <c r="B3" s="98" t="s">
        <v>4</v>
      </c>
      <c r="C3" s="233" t="s">
        <v>151</v>
      </c>
      <c r="D3" s="234" t="s">
        <v>279</v>
      </c>
      <c r="E3" s="233" t="s">
        <v>279</v>
      </c>
      <c r="F3" s="234" t="s">
        <v>279</v>
      </c>
      <c r="G3" s="234" t="s">
        <v>279</v>
      </c>
      <c r="H3" s="234" t="s">
        <v>279</v>
      </c>
      <c r="I3" s="233" t="s">
        <v>40</v>
      </c>
      <c r="J3" s="233" t="s">
        <v>279</v>
      </c>
      <c r="K3" s="233" t="s">
        <v>280</v>
      </c>
      <c r="L3" s="545">
        <v>2016</v>
      </c>
      <c r="M3" s="545">
        <v>0</v>
      </c>
      <c r="N3" s="238">
        <v>0</v>
      </c>
      <c r="O3" s="545">
        <v>0</v>
      </c>
      <c r="P3" s="546">
        <v>0.63</v>
      </c>
      <c r="Q3" s="545">
        <v>0.16</v>
      </c>
      <c r="R3" s="547">
        <f>+(((N3+P3+Q3)*120+O3+M3)*1.1)/120</f>
        <v>0.86900000000000011</v>
      </c>
      <c r="S3" s="548">
        <f>+(((N3+P3+Q3)*120+O3+M3)*Z3)/120</f>
        <v>7.9000000000000015E-2</v>
      </c>
      <c r="T3" s="545"/>
      <c r="U3" s="545">
        <v>2</v>
      </c>
      <c r="V3" s="233">
        <v>1</v>
      </c>
      <c r="W3" s="248" t="s">
        <v>280</v>
      </c>
      <c r="X3" s="233" t="s">
        <v>280</v>
      </c>
      <c r="Y3" s="233" t="s">
        <v>280</v>
      </c>
      <c r="Z3" s="269">
        <v>0.1</v>
      </c>
      <c r="AA3" s="233" t="s">
        <v>627</v>
      </c>
      <c r="AB3" s="233" t="s">
        <v>398</v>
      </c>
      <c r="AC3" s="348" t="s">
        <v>375</v>
      </c>
      <c r="AD3" s="549" t="s">
        <v>626</v>
      </c>
      <c r="AE3" s="550" t="s">
        <v>399</v>
      </c>
      <c r="AF3" s="550" t="s">
        <v>411</v>
      </c>
      <c r="AG3" s="156"/>
      <c r="AH3" s="156"/>
      <c r="AI3" s="156"/>
      <c r="AJ3" s="156"/>
      <c r="AK3" s="156"/>
      <c r="AL3" s="156"/>
      <c r="AM3" s="156"/>
      <c r="AN3" s="156"/>
      <c r="AO3" s="156"/>
      <c r="AP3" s="156"/>
      <c r="AQ3" s="156"/>
      <c r="AR3" s="156"/>
    </row>
    <row r="4" spans="1:44" s="89" customFormat="1" ht="71.25">
      <c r="A4" s="107" t="str">
        <f>+Liste_services!A12</f>
        <v>Breil</v>
      </c>
      <c r="B4" s="98" t="s">
        <v>4</v>
      </c>
      <c r="C4" s="233" t="s">
        <v>151</v>
      </c>
      <c r="D4" s="234" t="s">
        <v>279</v>
      </c>
      <c r="E4" s="233" t="s">
        <v>279</v>
      </c>
      <c r="F4" s="234" t="s">
        <v>279</v>
      </c>
      <c r="G4" s="234" t="s">
        <v>279</v>
      </c>
      <c r="H4" s="234" t="s">
        <v>279</v>
      </c>
      <c r="I4" s="233" t="s">
        <v>40</v>
      </c>
      <c r="J4" s="233" t="s">
        <v>280</v>
      </c>
      <c r="K4" s="233" t="s">
        <v>280</v>
      </c>
      <c r="L4" s="551">
        <v>2017</v>
      </c>
      <c r="M4" s="545">
        <v>0</v>
      </c>
      <c r="N4" s="545">
        <v>0</v>
      </c>
      <c r="O4" s="545">
        <v>35.25</v>
      </c>
      <c r="P4" s="546">
        <v>0</v>
      </c>
      <c r="Q4" s="545">
        <v>4.5580000000000002E-2</v>
      </c>
      <c r="R4" s="547">
        <f>+(((N4+P4+Q4)*120+O4+M4)*1.1)/120</f>
        <v>0.37326300000000001</v>
      </c>
      <c r="S4" s="548">
        <f t="shared" ref="S4:S17" si="0">+(((N4+P4+Q4)*120+O4+M4)*Z4)/120</f>
        <v>3.3932999999999998E-2</v>
      </c>
      <c r="T4" s="545"/>
      <c r="U4" s="545">
        <v>2</v>
      </c>
      <c r="V4" s="233">
        <v>0</v>
      </c>
      <c r="W4" s="237" t="s">
        <v>280</v>
      </c>
      <c r="X4" s="233" t="s">
        <v>280</v>
      </c>
      <c r="Y4" s="233">
        <v>0</v>
      </c>
      <c r="Z4" s="269">
        <v>0.1</v>
      </c>
      <c r="AA4" s="233" t="s">
        <v>777</v>
      </c>
      <c r="AB4" s="233" t="s">
        <v>40</v>
      </c>
      <c r="AC4" s="348" t="s">
        <v>280</v>
      </c>
      <c r="AD4" s="549" t="s">
        <v>434</v>
      </c>
      <c r="AE4" s="550" t="s">
        <v>781</v>
      </c>
      <c r="AF4" s="550" t="s">
        <v>411</v>
      </c>
      <c r="AG4" s="156"/>
      <c r="AH4" s="156"/>
      <c r="AI4" s="156"/>
      <c r="AJ4" s="156"/>
      <c r="AK4" s="156"/>
      <c r="AL4" s="156"/>
      <c r="AM4" s="156"/>
      <c r="AN4" s="156"/>
      <c r="AO4" s="156"/>
      <c r="AP4" s="156"/>
      <c r="AQ4" s="156"/>
      <c r="AR4" s="156"/>
    </row>
    <row r="5" spans="1:44" s="89" customFormat="1" ht="42.75">
      <c r="A5" s="107" t="str">
        <f>+Liste_services!A6</f>
        <v>Castellar</v>
      </c>
      <c r="B5" s="98" t="s">
        <v>4</v>
      </c>
      <c r="C5" s="233" t="s">
        <v>287</v>
      </c>
      <c r="D5" s="234" t="s">
        <v>279</v>
      </c>
      <c r="E5" s="233" t="s">
        <v>279</v>
      </c>
      <c r="F5" s="234" t="s">
        <v>279</v>
      </c>
      <c r="G5" s="234" t="s">
        <v>279</v>
      </c>
      <c r="H5" s="234" t="s">
        <v>279</v>
      </c>
      <c r="I5" s="233" t="s">
        <v>40</v>
      </c>
      <c r="J5" s="233" t="s">
        <v>279</v>
      </c>
      <c r="K5" s="233" t="s">
        <v>280</v>
      </c>
      <c r="L5" s="545">
        <v>2017</v>
      </c>
      <c r="M5" s="545">
        <v>0</v>
      </c>
      <c r="N5" s="545">
        <v>0</v>
      </c>
      <c r="O5" s="545">
        <v>38.11</v>
      </c>
      <c r="P5" s="546">
        <v>1.5</v>
      </c>
      <c r="Q5" s="545">
        <v>0.155</v>
      </c>
      <c r="R5" s="547">
        <f>+(((N5+P5+Q5)*120+O5+M5))/120</f>
        <v>1.9725833333333331</v>
      </c>
      <c r="S5" s="548">
        <f t="shared" si="0"/>
        <v>0</v>
      </c>
      <c r="T5" s="545"/>
      <c r="U5" s="545">
        <v>1</v>
      </c>
      <c r="V5" s="233">
        <v>1</v>
      </c>
      <c r="W5" s="237" t="s">
        <v>280</v>
      </c>
      <c r="X5" s="233" t="s">
        <v>280</v>
      </c>
      <c r="Y5" s="233" t="s">
        <v>280</v>
      </c>
      <c r="Z5" s="269">
        <v>0</v>
      </c>
      <c r="AA5" s="233" t="s">
        <v>631</v>
      </c>
      <c r="AB5" s="233" t="s">
        <v>455</v>
      </c>
      <c r="AC5" s="348" t="s">
        <v>41</v>
      </c>
      <c r="AD5" s="549" t="s">
        <v>626</v>
      </c>
      <c r="AE5" s="550" t="s">
        <v>762</v>
      </c>
      <c r="AF5" s="550" t="s">
        <v>693</v>
      </c>
      <c r="AG5" s="156"/>
      <c r="AH5" s="156"/>
      <c r="AI5" s="156"/>
      <c r="AJ5" s="156"/>
      <c r="AK5" s="156"/>
      <c r="AL5" s="156"/>
      <c r="AM5" s="156"/>
      <c r="AN5" s="156"/>
      <c r="AO5" s="156"/>
      <c r="AP5" s="156"/>
      <c r="AQ5" s="156"/>
      <c r="AR5" s="156"/>
    </row>
    <row r="6" spans="1:44" s="89" customFormat="1" ht="57">
      <c r="A6" s="107" t="str">
        <f>+Liste_services!A9</f>
        <v>Castillon</v>
      </c>
      <c r="B6" s="98" t="s">
        <v>4</v>
      </c>
      <c r="C6" s="233" t="s">
        <v>151</v>
      </c>
      <c r="D6" s="234" t="s">
        <v>279</v>
      </c>
      <c r="E6" s="233" t="s">
        <v>279</v>
      </c>
      <c r="F6" s="234" t="s">
        <v>279</v>
      </c>
      <c r="G6" s="234" t="s">
        <v>279</v>
      </c>
      <c r="H6" s="234" t="s">
        <v>279</v>
      </c>
      <c r="I6" s="233" t="s">
        <v>40</v>
      </c>
      <c r="J6" s="233" t="s">
        <v>280</v>
      </c>
      <c r="K6" s="233" t="s">
        <v>40</v>
      </c>
      <c r="L6" s="551">
        <v>2017</v>
      </c>
      <c r="M6" s="545">
        <v>0</v>
      </c>
      <c r="N6" s="545">
        <v>0</v>
      </c>
      <c r="O6" s="545">
        <v>20</v>
      </c>
      <c r="P6" s="546">
        <v>1.5</v>
      </c>
      <c r="Q6" s="545">
        <v>0.16</v>
      </c>
      <c r="R6" s="547">
        <f t="shared" ref="R6:R14" si="1">+(((N6+P6+Q6)*120+O6+M6)*1.1)/120</f>
        <v>2.0093333333333332</v>
      </c>
      <c r="S6" s="548">
        <f t="shared" si="0"/>
        <v>0.18266666666666667</v>
      </c>
      <c r="T6" s="545"/>
      <c r="U6" s="545">
        <v>2</v>
      </c>
      <c r="V6" s="233">
        <v>1</v>
      </c>
      <c r="W6" s="237" t="s">
        <v>280</v>
      </c>
      <c r="X6" s="233" t="s">
        <v>41</v>
      </c>
      <c r="Y6" s="233" t="s">
        <v>638</v>
      </c>
      <c r="Z6" s="269">
        <v>0.1</v>
      </c>
      <c r="AA6" s="233" t="s">
        <v>639</v>
      </c>
      <c r="AB6" s="233" t="s">
        <v>40</v>
      </c>
      <c r="AC6" s="348" t="s">
        <v>41</v>
      </c>
      <c r="AD6" s="549" t="s">
        <v>626</v>
      </c>
      <c r="AE6" s="550" t="s">
        <v>471</v>
      </c>
      <c r="AF6" s="550" t="s">
        <v>411</v>
      </c>
      <c r="AG6" s="156"/>
      <c r="AH6" s="156"/>
      <c r="AI6" s="156"/>
      <c r="AJ6" s="156"/>
      <c r="AK6" s="156"/>
      <c r="AL6" s="156"/>
      <c r="AM6" s="156"/>
      <c r="AN6" s="156"/>
      <c r="AO6" s="156"/>
      <c r="AP6" s="156"/>
      <c r="AQ6" s="156"/>
      <c r="AR6" s="156"/>
    </row>
    <row r="7" spans="1:44" s="89" customFormat="1" ht="99.75">
      <c r="A7" s="107" t="str">
        <f>+Liste_services!A15</f>
        <v>Fontan</v>
      </c>
      <c r="B7" s="98" t="s">
        <v>4</v>
      </c>
      <c r="C7" s="233" t="s">
        <v>151</v>
      </c>
      <c r="D7" s="234" t="s">
        <v>279</v>
      </c>
      <c r="E7" s="233" t="s">
        <v>279</v>
      </c>
      <c r="F7" s="234" t="s">
        <v>279</v>
      </c>
      <c r="G7" s="234" t="s">
        <v>279</v>
      </c>
      <c r="H7" s="234" t="s">
        <v>279</v>
      </c>
      <c r="I7" s="233" t="s">
        <v>40</v>
      </c>
      <c r="J7" s="242" t="s">
        <v>279</v>
      </c>
      <c r="K7" s="242" t="s">
        <v>40</v>
      </c>
      <c r="L7" s="545">
        <v>2017</v>
      </c>
      <c r="M7" s="545">
        <v>0</v>
      </c>
      <c r="N7" s="545">
        <v>0</v>
      </c>
      <c r="O7" s="546">
        <f>12+84</f>
        <v>96</v>
      </c>
      <c r="P7" s="546">
        <v>0</v>
      </c>
      <c r="Q7" s="545">
        <v>0.155</v>
      </c>
      <c r="R7" s="547">
        <f>+(((N7+P7+Q7)*120+O7+M7))/120</f>
        <v>0.95499999999999996</v>
      </c>
      <c r="S7" s="548">
        <f t="shared" si="0"/>
        <v>0</v>
      </c>
      <c r="T7" s="233"/>
      <c r="U7" s="545" t="s">
        <v>280</v>
      </c>
      <c r="V7" s="233" t="s">
        <v>280</v>
      </c>
      <c r="W7" s="237" t="s">
        <v>280</v>
      </c>
      <c r="X7" s="233" t="s">
        <v>280</v>
      </c>
      <c r="Y7" s="233" t="s">
        <v>489</v>
      </c>
      <c r="Z7" s="269">
        <v>0</v>
      </c>
      <c r="AA7" s="233" t="s">
        <v>645</v>
      </c>
      <c r="AB7" s="233" t="s">
        <v>40</v>
      </c>
      <c r="AC7" s="348" t="s">
        <v>40</v>
      </c>
      <c r="AD7" s="549" t="s">
        <v>626</v>
      </c>
      <c r="AE7" s="550" t="s">
        <v>786</v>
      </c>
      <c r="AF7" s="550" t="s">
        <v>411</v>
      </c>
      <c r="AG7" s="156"/>
      <c r="AH7" s="156"/>
      <c r="AI7" s="156"/>
      <c r="AJ7" s="156"/>
      <c r="AK7" s="156"/>
      <c r="AL7" s="156"/>
      <c r="AM7" s="156"/>
      <c r="AN7" s="156"/>
      <c r="AO7" s="156"/>
      <c r="AP7" s="156"/>
      <c r="AQ7" s="156"/>
      <c r="AR7" s="156"/>
    </row>
    <row r="8" spans="1:44" s="89" customFormat="1" ht="57">
      <c r="A8" s="107" t="str">
        <f>+Liste_services!A5</f>
        <v>Gorbio</v>
      </c>
      <c r="B8" s="98" t="s">
        <v>4</v>
      </c>
      <c r="C8" s="233" t="s">
        <v>151</v>
      </c>
      <c r="D8" s="234" t="s">
        <v>279</v>
      </c>
      <c r="E8" s="233" t="s">
        <v>279</v>
      </c>
      <c r="F8" s="234" t="s">
        <v>279</v>
      </c>
      <c r="G8" s="234" t="s">
        <v>279</v>
      </c>
      <c r="H8" s="234" t="s">
        <v>279</v>
      </c>
      <c r="I8" s="233" t="s">
        <v>40</v>
      </c>
      <c r="J8" s="242" t="s">
        <v>279</v>
      </c>
      <c r="K8" s="242" t="s">
        <v>624</v>
      </c>
      <c r="L8" s="545">
        <v>2017</v>
      </c>
      <c r="M8" s="545">
        <v>0</v>
      </c>
      <c r="N8" s="545">
        <v>0</v>
      </c>
      <c r="O8" s="545">
        <v>0</v>
      </c>
      <c r="P8" s="545">
        <v>1.71</v>
      </c>
      <c r="Q8" s="545">
        <v>0.155</v>
      </c>
      <c r="R8" s="547">
        <f>+(((N8+P8+Q8)*120+O8+M8))/120</f>
        <v>1.865</v>
      </c>
      <c r="S8" s="548">
        <f t="shared" si="0"/>
        <v>0</v>
      </c>
      <c r="T8" s="545"/>
      <c r="U8" s="545">
        <v>2</v>
      </c>
      <c r="V8" s="233">
        <v>1</v>
      </c>
      <c r="W8" s="237" t="s">
        <v>256</v>
      </c>
      <c r="X8" s="233" t="s">
        <v>41</v>
      </c>
      <c r="Y8" s="233" t="s">
        <v>502</v>
      </c>
      <c r="Z8" s="269">
        <v>0</v>
      </c>
      <c r="AA8" s="233" t="s">
        <v>503</v>
      </c>
      <c r="AB8" s="233" t="s">
        <v>504</v>
      </c>
      <c r="AC8" s="348" t="s">
        <v>280</v>
      </c>
      <c r="AD8" s="549" t="s">
        <v>626</v>
      </c>
      <c r="AE8" s="550" t="s">
        <v>505</v>
      </c>
      <c r="AF8" s="550" t="s">
        <v>411</v>
      </c>
      <c r="AG8" s="156"/>
      <c r="AH8" s="156"/>
      <c r="AI8" s="156"/>
      <c r="AJ8" s="156"/>
      <c r="AK8" s="156"/>
      <c r="AL8" s="156"/>
      <c r="AM8" s="156"/>
      <c r="AN8" s="156"/>
      <c r="AO8" s="156"/>
      <c r="AP8" s="156"/>
      <c r="AQ8" s="156"/>
      <c r="AR8" s="156"/>
    </row>
    <row r="9" spans="1:44" s="89" customFormat="1" ht="71.25">
      <c r="A9" s="107" t="str">
        <f>+Liste_services!A14</f>
        <v>La Brigue</v>
      </c>
      <c r="B9" s="98" t="s">
        <v>4</v>
      </c>
      <c r="C9" s="233" t="s">
        <v>151</v>
      </c>
      <c r="D9" s="234" t="s">
        <v>279</v>
      </c>
      <c r="E9" s="233" t="s">
        <v>279</v>
      </c>
      <c r="F9" s="234" t="s">
        <v>279</v>
      </c>
      <c r="G9" s="234" t="s">
        <v>279</v>
      </c>
      <c r="H9" s="234" t="s">
        <v>279</v>
      </c>
      <c r="I9" s="233" t="s">
        <v>40</v>
      </c>
      <c r="J9" s="242" t="s">
        <v>279</v>
      </c>
      <c r="K9" s="242" t="s">
        <v>511</v>
      </c>
      <c r="L9" s="552">
        <v>2016</v>
      </c>
      <c r="M9" s="545">
        <v>0</v>
      </c>
      <c r="N9" s="545">
        <v>0</v>
      </c>
      <c r="O9" s="552">
        <f>32+56.7</f>
        <v>88.7</v>
      </c>
      <c r="P9" s="553">
        <v>0</v>
      </c>
      <c r="Q9" s="553">
        <f>16/120</f>
        <v>0.13333333333333333</v>
      </c>
      <c r="R9" s="547">
        <f t="shared" si="1"/>
        <v>0.9597500000000001</v>
      </c>
      <c r="S9" s="548">
        <f t="shared" si="0"/>
        <v>0</v>
      </c>
      <c r="T9" s="545"/>
      <c r="U9" s="545">
        <v>1</v>
      </c>
      <c r="V9" s="233">
        <v>1</v>
      </c>
      <c r="W9" s="237" t="s">
        <v>280</v>
      </c>
      <c r="X9" s="233" t="s">
        <v>280</v>
      </c>
      <c r="Y9" s="233" t="s">
        <v>512</v>
      </c>
      <c r="Z9" s="269">
        <v>0</v>
      </c>
      <c r="AA9" s="233" t="s">
        <v>643</v>
      </c>
      <c r="AB9" s="233" t="s">
        <v>40</v>
      </c>
      <c r="AC9" s="348" t="s">
        <v>41</v>
      </c>
      <c r="AD9" s="549" t="s">
        <v>626</v>
      </c>
      <c r="AE9" s="550" t="s">
        <v>784</v>
      </c>
      <c r="AF9" s="550" t="s">
        <v>411</v>
      </c>
      <c r="AG9" s="156"/>
      <c r="AH9" s="156"/>
      <c r="AI9" s="156"/>
      <c r="AJ9" s="156"/>
      <c r="AK9" s="156"/>
      <c r="AL9" s="156"/>
      <c r="AM9" s="156"/>
      <c r="AN9" s="156"/>
      <c r="AO9" s="156"/>
      <c r="AP9" s="156"/>
      <c r="AQ9" s="156"/>
      <c r="AR9" s="156"/>
    </row>
    <row r="10" spans="1:44" s="89" customFormat="1" ht="185.25">
      <c r="A10" s="107" t="str">
        <f>+Liste_services!A8</f>
        <v xml:space="preserve">La Turbie </v>
      </c>
      <c r="B10" s="98" t="s">
        <v>4</v>
      </c>
      <c r="C10" s="233" t="s">
        <v>311</v>
      </c>
      <c r="D10" s="234" t="s">
        <v>531</v>
      </c>
      <c r="E10" s="554">
        <v>43531</v>
      </c>
      <c r="F10" s="240" t="s">
        <v>532</v>
      </c>
      <c r="G10" s="240" t="s">
        <v>40</v>
      </c>
      <c r="H10" s="240" t="s">
        <v>40</v>
      </c>
      <c r="I10" s="233" t="s">
        <v>40</v>
      </c>
      <c r="J10" s="233" t="s">
        <v>40</v>
      </c>
      <c r="K10" s="233" t="s">
        <v>40</v>
      </c>
      <c r="L10" s="545">
        <v>2016</v>
      </c>
      <c r="M10" s="545">
        <v>0</v>
      </c>
      <c r="N10" s="545">
        <v>0.31040000000000001</v>
      </c>
      <c r="O10" s="545">
        <v>0</v>
      </c>
      <c r="P10" s="546">
        <v>1.1299999999999999</v>
      </c>
      <c r="Q10" s="545">
        <v>0.16</v>
      </c>
      <c r="R10" s="547">
        <f t="shared" si="1"/>
        <v>1.7604399999999998</v>
      </c>
      <c r="S10" s="548">
        <f t="shared" si="0"/>
        <v>0.16003999999999999</v>
      </c>
      <c r="T10" s="545"/>
      <c r="U10" s="545">
        <v>2</v>
      </c>
      <c r="V10" s="233">
        <v>1</v>
      </c>
      <c r="W10" s="248">
        <v>6.9999999999999999E-4</v>
      </c>
      <c r="X10" s="233" t="s">
        <v>280</v>
      </c>
      <c r="Y10" s="233" t="s">
        <v>602</v>
      </c>
      <c r="Z10" s="269">
        <v>0.1</v>
      </c>
      <c r="AA10" s="233" t="s">
        <v>40</v>
      </c>
      <c r="AB10" s="233" t="s">
        <v>534</v>
      </c>
      <c r="AC10" s="348" t="s">
        <v>41</v>
      </c>
      <c r="AD10" s="549" t="s">
        <v>626</v>
      </c>
      <c r="AE10" s="550" t="s">
        <v>533</v>
      </c>
      <c r="AF10" s="550" t="s">
        <v>695</v>
      </c>
      <c r="AG10" s="156"/>
      <c r="AH10" s="156"/>
      <c r="AI10" s="156"/>
      <c r="AJ10" s="156"/>
      <c r="AK10" s="156"/>
      <c r="AL10" s="156"/>
      <c r="AM10" s="156"/>
      <c r="AN10" s="156"/>
      <c r="AO10" s="156"/>
      <c r="AP10" s="156"/>
      <c r="AQ10" s="156"/>
      <c r="AR10" s="156"/>
    </row>
    <row r="11" spans="1:44" s="89" customFormat="1" ht="128.25">
      <c r="A11" s="107" t="str">
        <f>+Liste_services!A2</f>
        <v>Menton</v>
      </c>
      <c r="B11" s="98" t="s">
        <v>4</v>
      </c>
      <c r="C11" s="233" t="s">
        <v>311</v>
      </c>
      <c r="D11" s="234" t="s">
        <v>312</v>
      </c>
      <c r="E11" s="245">
        <v>43465</v>
      </c>
      <c r="F11" s="240" t="s">
        <v>313</v>
      </c>
      <c r="G11" s="240"/>
      <c r="H11" s="240"/>
      <c r="I11" s="233" t="s">
        <v>40</v>
      </c>
      <c r="J11" s="245">
        <v>37285</v>
      </c>
      <c r="K11" s="242" t="s">
        <v>624</v>
      </c>
      <c r="L11" s="545">
        <v>2017</v>
      </c>
      <c r="M11" s="545">
        <v>0</v>
      </c>
      <c r="N11" s="238">
        <v>1.1868000000000001</v>
      </c>
      <c r="O11" s="545">
        <v>0</v>
      </c>
      <c r="P11" s="546">
        <v>0.46</v>
      </c>
      <c r="Q11" s="545">
        <v>0.155</v>
      </c>
      <c r="R11" s="547">
        <f t="shared" si="1"/>
        <v>1.9819800000000003</v>
      </c>
      <c r="S11" s="548">
        <f t="shared" si="0"/>
        <v>0.18018000000000001</v>
      </c>
      <c r="T11" s="233"/>
      <c r="U11" s="233">
        <v>2</v>
      </c>
      <c r="V11" s="233">
        <v>1</v>
      </c>
      <c r="W11" s="248">
        <v>1E-3</v>
      </c>
      <c r="X11" s="233" t="s">
        <v>41</v>
      </c>
      <c r="Y11" s="233" t="s">
        <v>792</v>
      </c>
      <c r="Z11" s="269">
        <v>0.1</v>
      </c>
      <c r="AA11" s="233" t="s">
        <v>821</v>
      </c>
      <c r="AB11" s="233" t="s">
        <v>822</v>
      </c>
      <c r="AC11" s="348" t="s">
        <v>375</v>
      </c>
      <c r="AD11" s="549" t="s">
        <v>626</v>
      </c>
      <c r="AE11" s="550" t="s">
        <v>753</v>
      </c>
      <c r="AF11" s="550" t="s">
        <v>692</v>
      </c>
      <c r="AG11" s="156"/>
      <c r="AH11" s="156"/>
      <c r="AI11" s="156"/>
      <c r="AJ11" s="156"/>
      <c r="AK11" s="156"/>
      <c r="AL11" s="156"/>
      <c r="AM11" s="156"/>
      <c r="AN11" s="156"/>
      <c r="AO11" s="156"/>
      <c r="AP11" s="156"/>
      <c r="AQ11" s="156"/>
      <c r="AR11" s="156"/>
    </row>
    <row r="12" spans="1:44" s="89" customFormat="1" ht="99.75">
      <c r="A12" s="107" t="str">
        <f>+Liste_services!A11</f>
        <v>Moulinet</v>
      </c>
      <c r="B12" s="98" t="s">
        <v>4</v>
      </c>
      <c r="C12" s="233" t="s">
        <v>151</v>
      </c>
      <c r="D12" s="234" t="s">
        <v>279</v>
      </c>
      <c r="E12" s="233" t="s">
        <v>279</v>
      </c>
      <c r="F12" s="234" t="s">
        <v>279</v>
      </c>
      <c r="G12" s="234" t="s">
        <v>279</v>
      </c>
      <c r="H12" s="234" t="s">
        <v>279</v>
      </c>
      <c r="I12" s="233" t="s">
        <v>40</v>
      </c>
      <c r="J12" s="242" t="s">
        <v>279</v>
      </c>
      <c r="K12" s="233" t="s">
        <v>40</v>
      </c>
      <c r="L12" s="545">
        <v>2016</v>
      </c>
      <c r="M12" s="545">
        <v>0</v>
      </c>
      <c r="N12" s="545">
        <v>0</v>
      </c>
      <c r="O12" s="545">
        <v>105.5</v>
      </c>
      <c r="P12" s="546">
        <v>0</v>
      </c>
      <c r="Q12" s="546">
        <f>10.4/120</f>
        <v>8.666666666666667E-2</v>
      </c>
      <c r="R12" s="547">
        <f t="shared" si="1"/>
        <v>1.0624166666666668</v>
      </c>
      <c r="S12" s="548">
        <f>+(((N12+P12+Q12)*120+O12+M12)*Z12)/120</f>
        <v>0</v>
      </c>
      <c r="T12" s="545"/>
      <c r="U12" s="545">
        <v>1</v>
      </c>
      <c r="V12" s="233">
        <v>1</v>
      </c>
      <c r="W12" s="237" t="s">
        <v>280</v>
      </c>
      <c r="X12" s="233" t="s">
        <v>41</v>
      </c>
      <c r="Y12" s="233">
        <v>300</v>
      </c>
      <c r="Z12" s="269">
        <v>0</v>
      </c>
      <c r="AA12" s="233" t="s">
        <v>775</v>
      </c>
      <c r="AB12" s="233" t="s">
        <v>40</v>
      </c>
      <c r="AC12" s="348" t="s">
        <v>280</v>
      </c>
      <c r="AD12" s="549" t="s">
        <v>626</v>
      </c>
      <c r="AE12" s="550" t="s">
        <v>780</v>
      </c>
      <c r="AF12" s="550" t="s">
        <v>411</v>
      </c>
      <c r="AG12" s="156"/>
      <c r="AH12" s="156"/>
      <c r="AI12" s="156"/>
      <c r="AJ12" s="156"/>
      <c r="AK12" s="156"/>
      <c r="AL12" s="156"/>
      <c r="AM12" s="156"/>
      <c r="AN12" s="156"/>
      <c r="AO12" s="156"/>
      <c r="AP12" s="156"/>
      <c r="AQ12" s="156"/>
      <c r="AR12" s="156"/>
    </row>
    <row r="13" spans="1:44" s="89" customFormat="1" ht="256.5">
      <c r="A13" s="107" t="str">
        <f>+Liste_services!A3</f>
        <v>Roquebrune</v>
      </c>
      <c r="B13" s="98" t="s">
        <v>4</v>
      </c>
      <c r="C13" s="233" t="s">
        <v>422</v>
      </c>
      <c r="D13" s="234" t="s">
        <v>389</v>
      </c>
      <c r="E13" s="245">
        <v>47483</v>
      </c>
      <c r="F13" s="240" t="s">
        <v>423</v>
      </c>
      <c r="G13" s="240" t="s">
        <v>424</v>
      </c>
      <c r="H13" s="240" t="s">
        <v>425</v>
      </c>
      <c r="I13" s="233" t="s">
        <v>40</v>
      </c>
      <c r="J13" s="242" t="s">
        <v>834</v>
      </c>
      <c r="K13" s="242" t="s">
        <v>426</v>
      </c>
      <c r="L13" s="545">
        <v>2016</v>
      </c>
      <c r="M13" s="545">
        <v>0</v>
      </c>
      <c r="N13" s="238">
        <v>1.9663999999999999</v>
      </c>
      <c r="O13" s="233">
        <v>0</v>
      </c>
      <c r="P13" s="238">
        <v>0.88</v>
      </c>
      <c r="Q13" s="545">
        <v>0.16</v>
      </c>
      <c r="R13" s="547">
        <f t="shared" si="1"/>
        <v>3.3070400000000006</v>
      </c>
      <c r="S13" s="548">
        <f t="shared" si="0"/>
        <v>0.30064000000000007</v>
      </c>
      <c r="T13" s="233"/>
      <c r="U13" s="233">
        <v>2</v>
      </c>
      <c r="V13" s="233">
        <v>1</v>
      </c>
      <c r="W13" s="248">
        <v>6.9999999999999999E-4</v>
      </c>
      <c r="X13" s="233" t="s">
        <v>280</v>
      </c>
      <c r="Y13" s="530">
        <v>20</v>
      </c>
      <c r="Z13" s="269">
        <v>0.1</v>
      </c>
      <c r="AA13" s="233" t="s">
        <v>820</v>
      </c>
      <c r="AB13" s="233" t="s">
        <v>40</v>
      </c>
      <c r="AC13" s="348" t="s">
        <v>41</v>
      </c>
      <c r="AD13" s="549" t="s">
        <v>626</v>
      </c>
      <c r="AE13" s="550" t="s">
        <v>427</v>
      </c>
      <c r="AF13" s="550" t="s">
        <v>411</v>
      </c>
      <c r="AG13" s="156"/>
      <c r="AH13" s="156"/>
      <c r="AI13" s="156"/>
      <c r="AJ13" s="156"/>
      <c r="AK13" s="156"/>
      <c r="AL13" s="156"/>
      <c r="AM13" s="156"/>
      <c r="AN13" s="156"/>
      <c r="AO13" s="156"/>
      <c r="AP13" s="156"/>
      <c r="AQ13" s="156"/>
      <c r="AR13" s="156"/>
    </row>
    <row r="14" spans="1:44" s="89" customFormat="1" ht="384.75">
      <c r="A14" s="107" t="str">
        <f>+Liste_services!A7</f>
        <v>Sainte Agnes</v>
      </c>
      <c r="B14" s="98" t="s">
        <v>4</v>
      </c>
      <c r="C14" s="233" t="s">
        <v>311</v>
      </c>
      <c r="D14" s="234" t="s">
        <v>389</v>
      </c>
      <c r="E14" s="555">
        <v>44561</v>
      </c>
      <c r="F14" s="556" t="s">
        <v>557</v>
      </c>
      <c r="G14" s="556" t="s">
        <v>40</v>
      </c>
      <c r="H14" s="556" t="s">
        <v>40</v>
      </c>
      <c r="I14" s="233" t="s">
        <v>40</v>
      </c>
      <c r="J14" s="233" t="s">
        <v>280</v>
      </c>
      <c r="K14" s="233" t="s">
        <v>41</v>
      </c>
      <c r="L14" s="545">
        <v>2017</v>
      </c>
      <c r="M14" s="545">
        <v>0</v>
      </c>
      <c r="N14" s="545">
        <v>1.137</v>
      </c>
      <c r="O14" s="545">
        <v>0</v>
      </c>
      <c r="P14" s="546">
        <v>0.27</v>
      </c>
      <c r="Q14" s="545">
        <v>0.155</v>
      </c>
      <c r="R14" s="547">
        <f t="shared" si="1"/>
        <v>1.7182000000000002</v>
      </c>
      <c r="S14" s="548">
        <f t="shared" si="0"/>
        <v>0.15620000000000001</v>
      </c>
      <c r="T14" s="545"/>
      <c r="U14" s="545">
        <v>2</v>
      </c>
      <c r="V14" s="233">
        <v>1</v>
      </c>
      <c r="W14" s="237">
        <v>4.2099999999999999E-2</v>
      </c>
      <c r="X14" s="233" t="s">
        <v>280</v>
      </c>
      <c r="Y14" s="233" t="s">
        <v>280</v>
      </c>
      <c r="Z14" s="269">
        <v>0.1</v>
      </c>
      <c r="AA14" s="233" t="s">
        <v>40</v>
      </c>
      <c r="AB14" s="233" t="s">
        <v>40</v>
      </c>
      <c r="AC14" s="348" t="s">
        <v>41</v>
      </c>
      <c r="AD14" s="549" t="s">
        <v>558</v>
      </c>
      <c r="AE14" s="550" t="s">
        <v>399</v>
      </c>
      <c r="AF14" s="550" t="s">
        <v>411</v>
      </c>
      <c r="AG14" s="156"/>
      <c r="AH14" s="156"/>
      <c r="AI14" s="156"/>
      <c r="AJ14" s="156"/>
      <c r="AK14" s="156"/>
      <c r="AL14" s="156"/>
      <c r="AM14" s="156"/>
      <c r="AN14" s="156"/>
      <c r="AO14" s="156"/>
      <c r="AP14" s="156"/>
      <c r="AQ14" s="156"/>
      <c r="AR14" s="156"/>
    </row>
    <row r="15" spans="1:44" s="89" customFormat="1" ht="42.75">
      <c r="A15" s="107" t="str">
        <f>+Liste_services!A13</f>
        <v>Saorge</v>
      </c>
      <c r="B15" s="98" t="s">
        <v>4</v>
      </c>
      <c r="C15" s="233" t="s">
        <v>287</v>
      </c>
      <c r="D15" s="234" t="s">
        <v>279</v>
      </c>
      <c r="E15" s="233" t="s">
        <v>279</v>
      </c>
      <c r="F15" s="234" t="s">
        <v>279</v>
      </c>
      <c r="G15" s="234" t="s">
        <v>279</v>
      </c>
      <c r="H15" s="234" t="s">
        <v>279</v>
      </c>
      <c r="I15" s="233" t="s">
        <v>40</v>
      </c>
      <c r="J15" s="233" t="s">
        <v>279</v>
      </c>
      <c r="K15" s="233" t="s">
        <v>40</v>
      </c>
      <c r="L15" s="545">
        <v>2016</v>
      </c>
      <c r="M15" s="545">
        <v>0</v>
      </c>
      <c r="N15" s="545">
        <v>0</v>
      </c>
      <c r="O15" s="545">
        <v>46.35</v>
      </c>
      <c r="P15" s="546">
        <v>0</v>
      </c>
      <c r="Q15" s="546">
        <f>10.4/120</f>
        <v>8.666666666666667E-2</v>
      </c>
      <c r="R15" s="547">
        <f>+(((N15+P15+Q15)*120+O15+M15))/120</f>
        <v>0.47291666666666665</v>
      </c>
      <c r="S15" s="548">
        <f t="shared" si="0"/>
        <v>0</v>
      </c>
      <c r="T15" s="545"/>
      <c r="U15" s="545">
        <v>1</v>
      </c>
      <c r="V15" s="233">
        <v>1</v>
      </c>
      <c r="W15" s="237" t="s">
        <v>280</v>
      </c>
      <c r="X15" s="233" t="s">
        <v>280</v>
      </c>
      <c r="Y15" s="233" t="s">
        <v>565</v>
      </c>
      <c r="Z15" s="269">
        <v>0</v>
      </c>
      <c r="AA15" s="233" t="s">
        <v>566</v>
      </c>
      <c r="AB15" s="233" t="s">
        <v>40</v>
      </c>
      <c r="AC15" s="348" t="s">
        <v>40</v>
      </c>
      <c r="AD15" s="549" t="s">
        <v>558</v>
      </c>
      <c r="AE15" s="550" t="s">
        <v>782</v>
      </c>
      <c r="AF15" s="550" t="s">
        <v>411</v>
      </c>
      <c r="AG15" s="156"/>
      <c r="AH15" s="156"/>
      <c r="AI15" s="156"/>
      <c r="AJ15" s="156"/>
      <c r="AK15" s="156"/>
      <c r="AL15" s="156"/>
      <c r="AM15" s="156"/>
      <c r="AN15" s="156"/>
      <c r="AO15" s="156"/>
      <c r="AP15" s="156"/>
      <c r="AQ15" s="156"/>
      <c r="AR15" s="156"/>
    </row>
    <row r="16" spans="1:44" s="89" customFormat="1" ht="42.75">
      <c r="A16" s="107" t="str">
        <f>+Liste_services!A10</f>
        <v>Sospel</v>
      </c>
      <c r="B16" s="98" t="s">
        <v>4</v>
      </c>
      <c r="C16" s="233" t="s">
        <v>287</v>
      </c>
      <c r="D16" s="234" t="s">
        <v>279</v>
      </c>
      <c r="E16" s="233" t="s">
        <v>279</v>
      </c>
      <c r="F16" s="234" t="s">
        <v>279</v>
      </c>
      <c r="G16" s="234" t="s">
        <v>279</v>
      </c>
      <c r="H16" s="234" t="s">
        <v>279</v>
      </c>
      <c r="I16" s="233" t="s">
        <v>40</v>
      </c>
      <c r="J16" s="233" t="s">
        <v>40</v>
      </c>
      <c r="K16" s="233" t="s">
        <v>578</v>
      </c>
      <c r="L16" s="545">
        <v>2017</v>
      </c>
      <c r="M16" s="545">
        <v>0</v>
      </c>
      <c r="N16" s="545">
        <v>0</v>
      </c>
      <c r="O16" s="545">
        <v>36</v>
      </c>
      <c r="P16" s="546">
        <v>1</v>
      </c>
      <c r="Q16" s="545">
        <v>0.16</v>
      </c>
      <c r="R16" s="547">
        <f>+(((N16+P16+Q16)*120+O16+M16)*1.1)/120</f>
        <v>1.6060000000000001</v>
      </c>
      <c r="S16" s="548">
        <f t="shared" si="0"/>
        <v>0.14599999999999999</v>
      </c>
      <c r="T16" s="545"/>
      <c r="U16" s="545">
        <v>2</v>
      </c>
      <c r="V16" s="233" t="s">
        <v>280</v>
      </c>
      <c r="W16" s="247" t="s">
        <v>280</v>
      </c>
      <c r="X16" s="233" t="s">
        <v>280</v>
      </c>
      <c r="Y16" s="233" t="s">
        <v>565</v>
      </c>
      <c r="Z16" s="269">
        <v>0.1</v>
      </c>
      <c r="AA16" s="233" t="s">
        <v>772</v>
      </c>
      <c r="AB16" s="233" t="s">
        <v>40</v>
      </c>
      <c r="AC16" s="348" t="s">
        <v>280</v>
      </c>
      <c r="AD16" s="549" t="s">
        <v>558</v>
      </c>
      <c r="AE16" s="550" t="s">
        <v>626</v>
      </c>
      <c r="AF16" s="550" t="s">
        <v>411</v>
      </c>
      <c r="AG16" s="156"/>
      <c r="AH16" s="156"/>
      <c r="AI16" s="156"/>
      <c r="AJ16" s="156"/>
      <c r="AK16" s="156"/>
      <c r="AL16" s="156"/>
      <c r="AM16" s="156"/>
      <c r="AN16" s="156"/>
      <c r="AO16" s="156"/>
      <c r="AP16" s="156"/>
      <c r="AQ16" s="156"/>
      <c r="AR16" s="156"/>
    </row>
    <row r="17" spans="1:44" s="89" customFormat="1" ht="114">
      <c r="A17" s="107" t="str">
        <f>+Liste_services!A16</f>
        <v>Tende</v>
      </c>
      <c r="B17" s="98" t="s">
        <v>4</v>
      </c>
      <c r="C17" s="233" t="s">
        <v>151</v>
      </c>
      <c r="D17" s="234" t="s">
        <v>279</v>
      </c>
      <c r="E17" s="233" t="s">
        <v>279</v>
      </c>
      <c r="F17" s="234" t="s">
        <v>279</v>
      </c>
      <c r="G17" s="234" t="s">
        <v>279</v>
      </c>
      <c r="H17" s="234" t="s">
        <v>279</v>
      </c>
      <c r="I17" s="233" t="s">
        <v>40</v>
      </c>
      <c r="J17" s="233" t="s">
        <v>345</v>
      </c>
      <c r="K17" s="233" t="s">
        <v>40</v>
      </c>
      <c r="L17" s="545">
        <v>2017</v>
      </c>
      <c r="M17" s="545">
        <v>0</v>
      </c>
      <c r="N17" s="545">
        <v>0</v>
      </c>
      <c r="O17" s="545">
        <f>25+73.2</f>
        <v>98.2</v>
      </c>
      <c r="P17" s="546">
        <v>0</v>
      </c>
      <c r="Q17" s="545">
        <f>0.155</f>
        <v>0.155</v>
      </c>
      <c r="R17" s="547">
        <f>+(((N17+P17+Q17)*120+O17+M17)*1.1)/120</f>
        <v>1.0706666666666669</v>
      </c>
      <c r="S17" s="548">
        <f t="shared" si="0"/>
        <v>0</v>
      </c>
      <c r="T17" s="545"/>
      <c r="U17" s="545">
        <v>1</v>
      </c>
      <c r="V17" s="233">
        <v>1</v>
      </c>
      <c r="W17" s="237" t="s">
        <v>280</v>
      </c>
      <c r="X17" s="233" t="s">
        <v>280</v>
      </c>
      <c r="Y17" s="233">
        <v>0</v>
      </c>
      <c r="Z17" s="269">
        <v>0</v>
      </c>
      <c r="AA17" s="233" t="s">
        <v>346</v>
      </c>
      <c r="AB17" s="233" t="s">
        <v>682</v>
      </c>
      <c r="AC17" s="348" t="s">
        <v>286</v>
      </c>
      <c r="AD17" s="415" t="s">
        <v>328</v>
      </c>
      <c r="AE17" s="415" t="s">
        <v>789</v>
      </c>
      <c r="AF17" s="550" t="s">
        <v>411</v>
      </c>
      <c r="AG17" s="156"/>
      <c r="AH17" s="156"/>
      <c r="AI17" s="156"/>
      <c r="AJ17" s="156"/>
      <c r="AK17" s="156"/>
      <c r="AL17" s="156"/>
      <c r="AM17" s="156"/>
      <c r="AN17" s="156"/>
      <c r="AO17" s="156"/>
      <c r="AP17" s="156"/>
      <c r="AQ17" s="156"/>
      <c r="AR17" s="156"/>
    </row>
  </sheetData>
  <autoFilter ref="A2:AE17">
    <sortState ref="A3:AE19">
      <sortCondition ref="A2"/>
    </sortState>
  </autoFilter>
  <sortState ref="A3:AR16">
    <sortCondition ref="A3:A16"/>
  </sortState>
  <conditionalFormatting sqref="C3:AF17">
    <cfRule type="cellIs" dxfId="4" priority="1" operator="equal">
      <formula>"nc"</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597307"/>
    <pageSetUpPr fitToPage="1"/>
  </sheetPr>
  <dimension ref="A1:BY123"/>
  <sheetViews>
    <sheetView zoomScale="70" zoomScaleNormal="70" zoomScaleSheetLayoutView="100" workbookViewId="0">
      <pane xSplit="1" ySplit="2" topLeftCell="AR6" activePane="bottomRight" state="frozen"/>
      <selection pane="topRight" activeCell="B1" sqref="B1"/>
      <selection pane="bottomLeft" activeCell="A3" sqref="A3"/>
      <selection pane="bottomRight" activeCell="BC17" sqref="BC17"/>
    </sheetView>
  </sheetViews>
  <sheetFormatPr baseColWidth="10" defaultRowHeight="14.25"/>
  <cols>
    <col min="1" max="1" width="23.140625" style="106" bestFit="1" customWidth="1"/>
    <col min="2" max="2" width="12.7109375" style="95" hidden="1" customWidth="1"/>
    <col min="3" max="10" width="12.7109375" style="95" customWidth="1"/>
    <col min="11" max="11" width="12.7109375" style="95" hidden="1" customWidth="1"/>
    <col min="12" max="16" width="21.28515625" style="95" customWidth="1"/>
    <col min="17" max="18" width="21.28515625" style="90" customWidth="1"/>
    <col min="19" max="19" width="15.28515625" style="90" hidden="1" customWidth="1"/>
    <col min="20" max="20" width="15.28515625" style="113" bestFit="1" customWidth="1"/>
    <col min="21" max="22" width="15.28515625" style="92" customWidth="1"/>
    <col min="23" max="23" width="18.42578125" style="95" customWidth="1"/>
    <col min="24" max="24" width="15.28515625" style="90" bestFit="1" customWidth="1"/>
    <col min="25" max="26" width="15.28515625" style="90" customWidth="1"/>
    <col min="27" max="27" width="15.28515625" style="90" bestFit="1" customWidth="1"/>
    <col min="28" max="29" width="15.28515625" style="90" customWidth="1"/>
    <col min="30" max="30" width="15.28515625" style="193" customWidth="1"/>
    <col min="31" max="31" width="15.42578125" style="90" customWidth="1"/>
    <col min="32" max="32" width="13" style="90" customWidth="1"/>
    <col min="33" max="35" width="15.42578125" style="90" customWidth="1"/>
    <col min="36" max="38" width="18.140625" style="90" customWidth="1"/>
    <col min="39" max="39" width="32.28515625" style="90" customWidth="1"/>
    <col min="40" max="46" width="11.42578125" style="90"/>
    <col min="47" max="47" width="23.28515625" style="90" customWidth="1"/>
    <col min="48" max="16384" width="11.42578125" style="90"/>
  </cols>
  <sheetData>
    <row r="1" spans="1:77">
      <c r="A1" s="209">
        <v>1</v>
      </c>
      <c r="B1" s="209">
        <v>2</v>
      </c>
      <c r="C1" s="209">
        <v>3</v>
      </c>
      <c r="D1" s="209">
        <v>4</v>
      </c>
      <c r="E1" s="209">
        <v>5</v>
      </c>
      <c r="F1" s="209">
        <v>6</v>
      </c>
      <c r="G1" s="209">
        <v>7</v>
      </c>
      <c r="H1" s="209">
        <v>8</v>
      </c>
      <c r="I1" s="209">
        <v>9</v>
      </c>
      <c r="J1" s="209">
        <v>10</v>
      </c>
      <c r="K1" s="209">
        <v>11</v>
      </c>
      <c r="L1" s="209">
        <v>12</v>
      </c>
      <c r="M1" s="209">
        <v>13</v>
      </c>
      <c r="N1" s="209">
        <v>14</v>
      </c>
      <c r="O1" s="209">
        <v>15</v>
      </c>
      <c r="P1" s="209">
        <v>16</v>
      </c>
      <c r="Q1" s="209">
        <v>17</v>
      </c>
      <c r="R1" s="209">
        <v>18</v>
      </c>
      <c r="S1" s="209">
        <v>19</v>
      </c>
      <c r="T1" s="209">
        <v>20</v>
      </c>
      <c r="U1" s="209">
        <v>21</v>
      </c>
      <c r="V1" s="209">
        <v>22</v>
      </c>
      <c r="W1" s="209">
        <v>23</v>
      </c>
      <c r="X1" s="209">
        <v>24</v>
      </c>
      <c r="Y1" s="209">
        <v>25</v>
      </c>
      <c r="Z1" s="209">
        <v>26</v>
      </c>
      <c r="AA1" s="209">
        <v>27</v>
      </c>
      <c r="AB1" s="209">
        <v>28</v>
      </c>
      <c r="AC1" s="209">
        <v>29</v>
      </c>
      <c r="AD1" s="209">
        <v>30</v>
      </c>
      <c r="AE1" s="209">
        <v>31</v>
      </c>
      <c r="AF1" s="209">
        <v>32</v>
      </c>
      <c r="AG1" s="209">
        <v>33</v>
      </c>
      <c r="AH1" s="209">
        <v>34</v>
      </c>
      <c r="AI1" s="209">
        <v>35</v>
      </c>
      <c r="AJ1" s="209">
        <v>36</v>
      </c>
      <c r="AK1" s="209">
        <v>37</v>
      </c>
      <c r="AL1" s="209">
        <v>38</v>
      </c>
      <c r="AM1" s="209">
        <v>39</v>
      </c>
      <c r="AN1" s="209">
        <v>40</v>
      </c>
      <c r="AO1" s="209">
        <v>41</v>
      </c>
      <c r="AP1" s="209">
        <v>42</v>
      </c>
      <c r="AQ1" s="209">
        <v>43</v>
      </c>
      <c r="AR1" s="209">
        <v>44</v>
      </c>
      <c r="AS1" s="209">
        <v>45</v>
      </c>
      <c r="AT1" s="209">
        <v>46</v>
      </c>
      <c r="AU1" s="209">
        <v>47</v>
      </c>
      <c r="AV1" s="209">
        <v>48</v>
      </c>
      <c r="AW1" s="209">
        <v>49</v>
      </c>
      <c r="AX1" s="524">
        <v>50</v>
      </c>
      <c r="AY1" s="527">
        <v>51</v>
      </c>
      <c r="AZ1" s="524">
        <v>52</v>
      </c>
    </row>
    <row r="2" spans="1:77" s="102" customFormat="1" ht="67.5">
      <c r="A2" s="107" t="s">
        <v>4</v>
      </c>
      <c r="B2" s="107" t="s">
        <v>55</v>
      </c>
      <c r="C2" s="107" t="s">
        <v>273</v>
      </c>
      <c r="D2" s="107" t="s">
        <v>228</v>
      </c>
      <c r="E2" s="107" t="s">
        <v>274</v>
      </c>
      <c r="F2" s="107" t="s">
        <v>117</v>
      </c>
      <c r="G2" s="107" t="s">
        <v>156</v>
      </c>
      <c r="H2" s="107" t="s">
        <v>232</v>
      </c>
      <c r="I2" s="107" t="s">
        <v>122</v>
      </c>
      <c r="J2" s="107" t="s">
        <v>319</v>
      </c>
      <c r="K2" s="107" t="s">
        <v>125</v>
      </c>
      <c r="L2" s="107" t="s">
        <v>110</v>
      </c>
      <c r="M2" s="107" t="s">
        <v>111</v>
      </c>
      <c r="N2" s="107" t="s">
        <v>112</v>
      </c>
      <c r="O2" s="107" t="s">
        <v>10</v>
      </c>
      <c r="P2" s="107" t="s">
        <v>113</v>
      </c>
      <c r="Q2" s="107" t="s">
        <v>234</v>
      </c>
      <c r="R2" s="107" t="s">
        <v>116</v>
      </c>
      <c r="S2" s="107" t="s">
        <v>115</v>
      </c>
      <c r="T2" s="115" t="s">
        <v>114</v>
      </c>
      <c r="U2" s="109" t="s">
        <v>128</v>
      </c>
      <c r="V2" s="109" t="s">
        <v>126</v>
      </c>
      <c r="W2" s="107" t="s">
        <v>0</v>
      </c>
      <c r="X2" s="107" t="s">
        <v>62</v>
      </c>
      <c r="Y2" s="107" t="s">
        <v>118</v>
      </c>
      <c r="Z2" s="107" t="s">
        <v>97</v>
      </c>
      <c r="AA2" s="107" t="s">
        <v>430</v>
      </c>
      <c r="AB2" s="107" t="s">
        <v>120</v>
      </c>
      <c r="AC2" s="107" t="s">
        <v>233</v>
      </c>
      <c r="AD2" s="192" t="s">
        <v>637</v>
      </c>
      <c r="AE2" s="107" t="s">
        <v>121</v>
      </c>
      <c r="AF2" s="107" t="s">
        <v>127</v>
      </c>
      <c r="AG2" s="517" t="s">
        <v>690</v>
      </c>
      <c r="AH2" s="107" t="s">
        <v>207</v>
      </c>
      <c r="AI2" s="107" t="s">
        <v>208</v>
      </c>
      <c r="AJ2" s="107" t="s">
        <v>854</v>
      </c>
      <c r="AK2" s="107" t="s">
        <v>214</v>
      </c>
      <c r="AL2" s="107" t="s">
        <v>225</v>
      </c>
      <c r="AM2" s="107" t="s">
        <v>226</v>
      </c>
      <c r="AN2" s="107" t="s">
        <v>305</v>
      </c>
      <c r="AO2" s="107" t="s">
        <v>306</v>
      </c>
      <c r="AP2" s="107" t="s">
        <v>370</v>
      </c>
      <c r="AQ2" s="107" t="s">
        <v>381</v>
      </c>
      <c r="AR2" s="107" t="s">
        <v>307</v>
      </c>
      <c r="AS2" s="344" t="s">
        <v>343</v>
      </c>
      <c r="AT2" s="344" t="s">
        <v>344</v>
      </c>
      <c r="AU2" s="344" t="s">
        <v>342</v>
      </c>
      <c r="AV2" s="344" t="s">
        <v>371</v>
      </c>
      <c r="AW2" s="344" t="s">
        <v>683</v>
      </c>
      <c r="AX2" s="525" t="s">
        <v>691</v>
      </c>
      <c r="AY2" s="528" t="s">
        <v>755</v>
      </c>
      <c r="AZ2" s="344" t="s">
        <v>840</v>
      </c>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row>
    <row r="3" spans="1:77" ht="30.75" customHeight="1">
      <c r="A3" s="106" t="str">
        <f>+Liste_services!A4</f>
        <v>Beausoleil</v>
      </c>
      <c r="B3" s="295" t="s">
        <v>260</v>
      </c>
      <c r="C3" s="99">
        <v>2.8</v>
      </c>
      <c r="D3" s="297">
        <f>13279-(100*2.2)</f>
        <v>13059</v>
      </c>
      <c r="E3" s="297">
        <f>D3/C3</f>
        <v>4663.9285714285716</v>
      </c>
      <c r="F3" s="538" t="s">
        <v>280</v>
      </c>
      <c r="G3" s="298">
        <f>100*2.2</f>
        <v>220.00000000000003</v>
      </c>
      <c r="H3" s="249">
        <f>D3/13279</f>
        <v>0.98343248738609834</v>
      </c>
      <c r="I3" s="242">
        <v>0</v>
      </c>
      <c r="J3" s="242" t="s">
        <v>280</v>
      </c>
      <c r="K3" s="242"/>
      <c r="L3" s="242" t="s">
        <v>400</v>
      </c>
      <c r="M3" s="250" t="s">
        <v>279</v>
      </c>
      <c r="N3" s="250" t="s">
        <v>279</v>
      </c>
      <c r="O3" s="371" t="s">
        <v>280</v>
      </c>
      <c r="P3" s="242" t="s">
        <v>279</v>
      </c>
      <c r="Q3" s="242" t="s">
        <v>279</v>
      </c>
      <c r="R3" s="242">
        <v>0</v>
      </c>
      <c r="S3" s="198" t="e">
        <f>2.5*R3+F3*2.5</f>
        <v>#VALUE!</v>
      </c>
      <c r="T3" s="257" t="s">
        <v>401</v>
      </c>
      <c r="U3" s="242" t="s">
        <v>280</v>
      </c>
      <c r="V3" s="249" t="s">
        <v>402</v>
      </c>
      <c r="W3" s="253" t="s">
        <v>280</v>
      </c>
      <c r="X3" s="242" t="s">
        <v>280</v>
      </c>
      <c r="Y3" s="242" t="s">
        <v>280</v>
      </c>
      <c r="Z3" s="242" t="s">
        <v>280</v>
      </c>
      <c r="AA3" s="242" t="s">
        <v>280</v>
      </c>
      <c r="AB3" s="242" t="s">
        <v>280</v>
      </c>
      <c r="AC3" s="99" t="s">
        <v>280</v>
      </c>
      <c r="AD3" s="465" t="s">
        <v>280</v>
      </c>
      <c r="AE3" s="372" t="s">
        <v>280</v>
      </c>
      <c r="AF3" s="110" t="s">
        <v>280</v>
      </c>
      <c r="AG3" s="373" t="s">
        <v>280</v>
      </c>
      <c r="AH3" s="409">
        <v>2</v>
      </c>
      <c r="AI3" s="110" t="s">
        <v>287</v>
      </c>
      <c r="AJ3" s="409" t="s">
        <v>760</v>
      </c>
      <c r="AK3" s="110" t="s">
        <v>403</v>
      </c>
      <c r="AL3" s="110" t="s">
        <v>404</v>
      </c>
      <c r="AM3" s="110" t="s">
        <v>405</v>
      </c>
      <c r="AN3" s="331" t="s">
        <v>280</v>
      </c>
      <c r="AO3" s="331" t="s">
        <v>406</v>
      </c>
      <c r="AP3" s="331" t="s">
        <v>380</v>
      </c>
      <c r="AQ3" s="374" t="s">
        <v>407</v>
      </c>
      <c r="AR3" s="343" t="s">
        <v>40</v>
      </c>
      <c r="AS3" s="345" t="s">
        <v>280</v>
      </c>
      <c r="AT3" s="345" t="s">
        <v>408</v>
      </c>
      <c r="AU3" s="345" t="s">
        <v>280</v>
      </c>
      <c r="AV3" s="345" t="s">
        <v>409</v>
      </c>
      <c r="AW3" s="518" t="s">
        <v>40</v>
      </c>
      <c r="AX3" s="526" t="s">
        <v>280</v>
      </c>
      <c r="AY3" s="331" t="s">
        <v>280</v>
      </c>
      <c r="AZ3" s="331" t="s">
        <v>838</v>
      </c>
    </row>
    <row r="4" spans="1:77" ht="228">
      <c r="A4" s="106" t="str">
        <f>+Liste_services!A12</f>
        <v>Breil</v>
      </c>
      <c r="B4" s="295" t="s">
        <v>268</v>
      </c>
      <c r="C4" s="99">
        <v>81.3</v>
      </c>
      <c r="D4" s="297">
        <f>2480-G4</f>
        <v>1396.504854368932</v>
      </c>
      <c r="E4" s="297">
        <f t="shared" ref="E4:E16" si="0">D4/C4</f>
        <v>17.177181480552669</v>
      </c>
      <c r="F4" s="242">
        <v>1380</v>
      </c>
      <c r="G4" s="298">
        <f>450*2480/1030</f>
        <v>1083.495145631068</v>
      </c>
      <c r="H4" s="249">
        <f>D4/2480</f>
        <v>0.56310679611650483</v>
      </c>
      <c r="I4" s="242">
        <v>3</v>
      </c>
      <c r="J4" s="242" t="s">
        <v>280</v>
      </c>
      <c r="K4" s="242"/>
      <c r="L4" s="242" t="s">
        <v>437</v>
      </c>
      <c r="M4" s="250" t="s">
        <v>435</v>
      </c>
      <c r="N4" s="242" t="s">
        <v>436</v>
      </c>
      <c r="O4" s="371" t="s">
        <v>280</v>
      </c>
      <c r="P4" s="425">
        <v>1200</v>
      </c>
      <c r="Q4" s="253" t="s">
        <v>439</v>
      </c>
      <c r="R4" s="242" t="s">
        <v>438</v>
      </c>
      <c r="S4" s="198" t="e">
        <f>2.5*R4+F4*2.5</f>
        <v>#VALUE!</v>
      </c>
      <c r="T4" s="257" t="s">
        <v>280</v>
      </c>
      <c r="U4" s="242" t="s">
        <v>280</v>
      </c>
      <c r="V4" s="256" t="s">
        <v>280</v>
      </c>
      <c r="W4" s="253">
        <v>1380</v>
      </c>
      <c r="X4" s="242" t="s">
        <v>280</v>
      </c>
      <c r="Y4" s="242" t="s">
        <v>280</v>
      </c>
      <c r="Z4" s="242" t="s">
        <v>280</v>
      </c>
      <c r="AA4" s="242" t="s">
        <v>280</v>
      </c>
      <c r="AB4" s="242" t="s">
        <v>280</v>
      </c>
      <c r="AC4" s="99" t="s">
        <v>280</v>
      </c>
      <c r="AD4" s="465" t="s">
        <v>440</v>
      </c>
      <c r="AE4" s="372" t="s">
        <v>280</v>
      </c>
      <c r="AF4" s="242" t="s">
        <v>41</v>
      </c>
      <c r="AG4" s="298">
        <v>0.8</v>
      </c>
      <c r="AH4" s="410">
        <v>1</v>
      </c>
      <c r="AI4" s="242" t="s">
        <v>287</v>
      </c>
      <c r="AJ4" s="410" t="s">
        <v>280</v>
      </c>
      <c r="AK4" s="242" t="s">
        <v>776</v>
      </c>
      <c r="AL4" s="242" t="s">
        <v>441</v>
      </c>
      <c r="AM4" s="242" t="s">
        <v>442</v>
      </c>
      <c r="AN4" s="331">
        <v>2011</v>
      </c>
      <c r="AO4" s="331" t="s">
        <v>443</v>
      </c>
      <c r="AP4" s="331" t="s">
        <v>287</v>
      </c>
      <c r="AQ4" s="374">
        <v>129</v>
      </c>
      <c r="AR4" s="343" t="s">
        <v>40</v>
      </c>
      <c r="AS4" s="419" t="s">
        <v>444</v>
      </c>
      <c r="AT4" s="345" t="s">
        <v>445</v>
      </c>
      <c r="AU4" s="345" t="s">
        <v>301</v>
      </c>
      <c r="AV4" s="345" t="s">
        <v>446</v>
      </c>
      <c r="AW4" s="518" t="s">
        <v>40</v>
      </c>
      <c r="AX4" s="526" t="s">
        <v>280</v>
      </c>
      <c r="AY4" s="331" t="s">
        <v>280</v>
      </c>
      <c r="AZ4" s="331" t="s">
        <v>838</v>
      </c>
    </row>
    <row r="5" spans="1:77" ht="21" customHeight="1">
      <c r="A5" s="106" t="str">
        <f>+Liste_services!A6</f>
        <v>Castellar</v>
      </c>
      <c r="B5" s="295" t="s">
        <v>262</v>
      </c>
      <c r="C5" s="99">
        <v>12.2</v>
      </c>
      <c r="D5" s="297">
        <v>956</v>
      </c>
      <c r="E5" s="297">
        <f t="shared" si="0"/>
        <v>78.360655737704917</v>
      </c>
      <c r="F5" s="299">
        <f>D5/(972/409)</f>
        <v>402.26748971193416</v>
      </c>
      <c r="G5" s="299">
        <f>972-D5</f>
        <v>16</v>
      </c>
      <c r="H5" s="254">
        <f>D5/972</f>
        <v>0.98353909465020573</v>
      </c>
      <c r="I5" s="253">
        <v>0</v>
      </c>
      <c r="J5" s="242" t="s">
        <v>280</v>
      </c>
      <c r="K5" s="242"/>
      <c r="L5" s="242" t="s">
        <v>506</v>
      </c>
      <c r="M5" s="242" t="s">
        <v>506</v>
      </c>
      <c r="N5" s="242" t="s">
        <v>506</v>
      </c>
      <c r="O5" s="371">
        <v>12371</v>
      </c>
      <c r="P5" s="242" t="s">
        <v>506</v>
      </c>
      <c r="Q5" s="242" t="s">
        <v>506</v>
      </c>
      <c r="R5" s="242">
        <v>40</v>
      </c>
      <c r="S5" s="198">
        <f t="shared" ref="S5:S17" si="1">2.5*R5+F5*2.5</f>
        <v>1105.6687242798353</v>
      </c>
      <c r="T5" s="257" t="s">
        <v>280</v>
      </c>
      <c r="U5" s="242" t="s">
        <v>280</v>
      </c>
      <c r="V5" s="242" t="s">
        <v>280</v>
      </c>
      <c r="W5" s="253" t="s">
        <v>280</v>
      </c>
      <c r="X5" s="242" t="s">
        <v>280</v>
      </c>
      <c r="Y5" s="242" t="s">
        <v>280</v>
      </c>
      <c r="Z5" s="242" t="s">
        <v>280</v>
      </c>
      <c r="AA5" s="242" t="s">
        <v>280</v>
      </c>
      <c r="AB5" s="242">
        <v>4</v>
      </c>
      <c r="AC5" s="99" t="s">
        <v>280</v>
      </c>
      <c r="AD5" s="465" t="s">
        <v>280</v>
      </c>
      <c r="AE5" s="372" t="s">
        <v>280</v>
      </c>
      <c r="AF5" s="242" t="s">
        <v>41</v>
      </c>
      <c r="AG5" s="298" t="s">
        <v>280</v>
      </c>
      <c r="AH5" s="410">
        <v>0</v>
      </c>
      <c r="AI5" s="242" t="s">
        <v>287</v>
      </c>
      <c r="AJ5" s="410" t="s">
        <v>411</v>
      </c>
      <c r="AK5" s="242" t="s">
        <v>456</v>
      </c>
      <c r="AL5" s="242" t="s">
        <v>632</v>
      </c>
      <c r="AM5" s="242" t="s">
        <v>633</v>
      </c>
      <c r="AN5" s="331">
        <v>2015</v>
      </c>
      <c r="AO5" s="331" t="s">
        <v>280</v>
      </c>
      <c r="AP5" s="331" t="s">
        <v>457</v>
      </c>
      <c r="AQ5" s="374">
        <v>150</v>
      </c>
      <c r="AR5" s="343" t="s">
        <v>40</v>
      </c>
      <c r="AS5" s="419">
        <v>0</v>
      </c>
      <c r="AT5" s="345" t="s">
        <v>634</v>
      </c>
      <c r="AU5" s="345" t="s">
        <v>280</v>
      </c>
      <c r="AV5" s="345" t="s">
        <v>458</v>
      </c>
      <c r="AW5" s="518" t="s">
        <v>40</v>
      </c>
      <c r="AX5" s="526" t="s">
        <v>280</v>
      </c>
      <c r="AY5" s="331" t="s">
        <v>280</v>
      </c>
      <c r="AZ5" s="331" t="s">
        <v>838</v>
      </c>
    </row>
    <row r="6" spans="1:77" ht="21" customHeight="1">
      <c r="A6" s="106" t="str">
        <f>+Liste_services!A9</f>
        <v>Castillon</v>
      </c>
      <c r="B6" s="295" t="s">
        <v>265</v>
      </c>
      <c r="C6" s="99">
        <v>7.1</v>
      </c>
      <c r="D6" s="297">
        <v>120</v>
      </c>
      <c r="E6" s="297">
        <f t="shared" si="0"/>
        <v>16.901408450704228</v>
      </c>
      <c r="F6" s="242">
        <v>105</v>
      </c>
      <c r="G6" s="298" t="s">
        <v>463</v>
      </c>
      <c r="H6" s="249">
        <v>0.26250000000000001</v>
      </c>
      <c r="I6" s="242">
        <v>0</v>
      </c>
      <c r="J6" s="242">
        <v>1</v>
      </c>
      <c r="K6" s="242"/>
      <c r="L6" s="242" t="s">
        <v>474</v>
      </c>
      <c r="M6" s="250">
        <v>300</v>
      </c>
      <c r="N6" s="245">
        <v>32994</v>
      </c>
      <c r="O6" s="424">
        <v>5386</v>
      </c>
      <c r="P6" s="425">
        <v>36500</v>
      </c>
      <c r="Q6" s="249">
        <v>1</v>
      </c>
      <c r="R6" s="246">
        <v>15</v>
      </c>
      <c r="S6" s="198">
        <f t="shared" si="1"/>
        <v>300</v>
      </c>
      <c r="T6" s="255">
        <v>0.4</v>
      </c>
      <c r="U6" s="242" t="s">
        <v>280</v>
      </c>
      <c r="V6" s="249">
        <v>1</v>
      </c>
      <c r="W6" s="242" t="s">
        <v>280</v>
      </c>
      <c r="X6" s="242">
        <v>70</v>
      </c>
      <c r="Y6" s="242" t="s">
        <v>280</v>
      </c>
      <c r="Z6" s="242">
        <v>0</v>
      </c>
      <c r="AA6" s="242" t="s">
        <v>280</v>
      </c>
      <c r="AB6" s="242" t="s">
        <v>280</v>
      </c>
      <c r="AC6" s="99" t="s">
        <v>280</v>
      </c>
      <c r="AD6" s="465" t="s">
        <v>280</v>
      </c>
      <c r="AE6" s="372" t="s">
        <v>280</v>
      </c>
      <c r="AF6" s="242" t="s">
        <v>41</v>
      </c>
      <c r="AG6" s="426">
        <v>0.9</v>
      </c>
      <c r="AH6" s="410">
        <v>0</v>
      </c>
      <c r="AI6" s="242" t="s">
        <v>287</v>
      </c>
      <c r="AJ6" s="410" t="s">
        <v>770</v>
      </c>
      <c r="AK6" s="242" t="s">
        <v>475</v>
      </c>
      <c r="AL6" s="242" t="s">
        <v>476</v>
      </c>
      <c r="AM6" s="242" t="s">
        <v>477</v>
      </c>
      <c r="AN6" s="331">
        <v>2012</v>
      </c>
      <c r="AO6" s="331" t="s">
        <v>478</v>
      </c>
      <c r="AP6" s="331" t="s">
        <v>380</v>
      </c>
      <c r="AQ6" s="374">
        <v>210</v>
      </c>
      <c r="AR6" s="343" t="s">
        <v>280</v>
      </c>
      <c r="AS6" s="345" t="s">
        <v>479</v>
      </c>
      <c r="AT6" s="345" t="s">
        <v>480</v>
      </c>
      <c r="AU6" s="345" t="s">
        <v>280</v>
      </c>
      <c r="AV6" s="345">
        <v>2009</v>
      </c>
      <c r="AW6" s="518" t="s">
        <v>680</v>
      </c>
      <c r="AX6" s="526" t="s">
        <v>280</v>
      </c>
      <c r="AY6" s="331" t="s">
        <v>280</v>
      </c>
      <c r="AZ6" s="331" t="s">
        <v>838</v>
      </c>
    </row>
    <row r="7" spans="1:77" ht="128.25">
      <c r="A7" s="106" t="str">
        <f>+Liste_services!A15</f>
        <v>Fontan</v>
      </c>
      <c r="B7" s="295" t="s">
        <v>271</v>
      </c>
      <c r="C7" s="99">
        <v>49.6</v>
      </c>
      <c r="D7" s="297">
        <f>323-G7</f>
        <v>315.2634730538922</v>
      </c>
      <c r="E7" s="297">
        <f t="shared" si="0"/>
        <v>6.3561184083446003</v>
      </c>
      <c r="F7" s="242">
        <v>437</v>
      </c>
      <c r="G7" s="298">
        <f>4*323/167</f>
        <v>7.7365269461077846</v>
      </c>
      <c r="H7" s="249" t="s">
        <v>280</v>
      </c>
      <c r="I7" s="242" t="s">
        <v>492</v>
      </c>
      <c r="J7" s="242" t="s">
        <v>280</v>
      </c>
      <c r="K7" s="242"/>
      <c r="L7" s="242" t="s">
        <v>490</v>
      </c>
      <c r="M7" s="250">
        <v>1000</v>
      </c>
      <c r="N7" s="245">
        <v>12785</v>
      </c>
      <c r="O7" s="371" t="s">
        <v>449</v>
      </c>
      <c r="P7" s="242" t="s">
        <v>280</v>
      </c>
      <c r="Q7" s="242" t="s">
        <v>280</v>
      </c>
      <c r="R7" s="242" t="s">
        <v>491</v>
      </c>
      <c r="S7" s="198" t="e">
        <f t="shared" si="1"/>
        <v>#VALUE!</v>
      </c>
      <c r="T7" s="255">
        <v>3.17</v>
      </c>
      <c r="U7" s="242" t="s">
        <v>280</v>
      </c>
      <c r="V7" s="256">
        <f>2700/3170</f>
        <v>0.8517350157728707</v>
      </c>
      <c r="W7" s="242" t="s">
        <v>280</v>
      </c>
      <c r="X7" s="242" t="s">
        <v>280</v>
      </c>
      <c r="Y7" s="242" t="s">
        <v>280</v>
      </c>
      <c r="Z7" s="242">
        <v>0</v>
      </c>
      <c r="AA7" s="242" t="s">
        <v>280</v>
      </c>
      <c r="AB7" s="242" t="s">
        <v>493</v>
      </c>
      <c r="AC7" s="99" t="s">
        <v>280</v>
      </c>
      <c r="AD7" s="465" t="s">
        <v>280</v>
      </c>
      <c r="AE7" s="372" t="s">
        <v>280</v>
      </c>
      <c r="AF7" s="242" t="s">
        <v>41</v>
      </c>
      <c r="AG7" s="426">
        <v>0.93</v>
      </c>
      <c r="AH7" s="410">
        <v>0</v>
      </c>
      <c r="AI7" s="242" t="s">
        <v>287</v>
      </c>
      <c r="AJ7" s="410" t="s">
        <v>787</v>
      </c>
      <c r="AK7" s="242" t="s">
        <v>785</v>
      </c>
      <c r="AL7" s="242" t="s">
        <v>494</v>
      </c>
      <c r="AM7" s="242" t="s">
        <v>833</v>
      </c>
      <c r="AN7" s="331">
        <v>2012</v>
      </c>
      <c r="AO7" s="331">
        <v>4</v>
      </c>
      <c r="AP7" s="331" t="s">
        <v>287</v>
      </c>
      <c r="AQ7" s="374" t="s">
        <v>280</v>
      </c>
      <c r="AR7" s="343" t="s">
        <v>280</v>
      </c>
      <c r="AS7" s="345" t="s">
        <v>280</v>
      </c>
      <c r="AT7" s="345" t="s">
        <v>495</v>
      </c>
      <c r="AU7" s="345" t="s">
        <v>280</v>
      </c>
      <c r="AV7" s="345">
        <v>2013</v>
      </c>
      <c r="AW7" s="518" t="s">
        <v>40</v>
      </c>
      <c r="AX7" s="526" t="s">
        <v>280</v>
      </c>
      <c r="AY7" s="331" t="s">
        <v>280</v>
      </c>
      <c r="AZ7" s="331" t="s">
        <v>838</v>
      </c>
    </row>
    <row r="8" spans="1:77" ht="21" customHeight="1">
      <c r="A8" s="106" t="str">
        <f>+Liste_services!A5</f>
        <v>Gorbio</v>
      </c>
      <c r="B8" s="295" t="s">
        <v>261</v>
      </c>
      <c r="C8" s="99">
        <v>7</v>
      </c>
      <c r="D8" s="297">
        <v>1325</v>
      </c>
      <c r="E8" s="297">
        <f t="shared" si="0"/>
        <v>189.28571428571428</v>
      </c>
      <c r="F8" s="242">
        <v>539</v>
      </c>
      <c r="G8" s="298">
        <f>60*1307/496</f>
        <v>158.10483870967741</v>
      </c>
      <c r="H8" s="249">
        <f>539/547</f>
        <v>0.98537477148080443</v>
      </c>
      <c r="I8" s="242">
        <v>0</v>
      </c>
      <c r="J8" s="242" t="s">
        <v>280</v>
      </c>
      <c r="K8" s="242"/>
      <c r="L8" s="242" t="s">
        <v>506</v>
      </c>
      <c r="M8" s="242" t="s">
        <v>506</v>
      </c>
      <c r="N8" s="242" t="s">
        <v>506</v>
      </c>
      <c r="O8" s="371">
        <v>76340</v>
      </c>
      <c r="P8" s="242" t="s">
        <v>506</v>
      </c>
      <c r="Q8" s="242" t="s">
        <v>506</v>
      </c>
      <c r="R8" s="242">
        <v>20</v>
      </c>
      <c r="S8" s="198">
        <f t="shared" si="1"/>
        <v>1397.5</v>
      </c>
      <c r="T8" s="255">
        <v>8.83</v>
      </c>
      <c r="U8" s="242" t="s">
        <v>280</v>
      </c>
      <c r="V8" s="256">
        <v>1</v>
      </c>
      <c r="W8" s="242" t="s">
        <v>280</v>
      </c>
      <c r="X8" s="242" t="s">
        <v>280</v>
      </c>
      <c r="Y8" s="242" t="s">
        <v>280</v>
      </c>
      <c r="Z8" s="242">
        <v>300</v>
      </c>
      <c r="AA8" s="242" t="s">
        <v>280</v>
      </c>
      <c r="AB8" s="242">
        <v>11</v>
      </c>
      <c r="AC8" s="99" t="s">
        <v>280</v>
      </c>
      <c r="AD8" s="465">
        <f>0.405/T8</f>
        <v>4.5866364665911666E-2</v>
      </c>
      <c r="AE8" s="372">
        <f>Z8/5/(T8*1000)</f>
        <v>6.7950169875424689E-3</v>
      </c>
      <c r="AF8" s="110" t="s">
        <v>41</v>
      </c>
      <c r="AG8" s="427">
        <v>0.5</v>
      </c>
      <c r="AH8" s="409">
        <v>0</v>
      </c>
      <c r="AI8" s="110" t="s">
        <v>287</v>
      </c>
      <c r="AJ8" s="409" t="s">
        <v>507</v>
      </c>
      <c r="AK8" s="110" t="s">
        <v>761</v>
      </c>
      <c r="AL8" s="110" t="s">
        <v>630</v>
      </c>
      <c r="AM8" s="110" t="s">
        <v>508</v>
      </c>
      <c r="AN8" s="331">
        <v>2010</v>
      </c>
      <c r="AO8" s="331">
        <v>60</v>
      </c>
      <c r="AP8" s="331" t="s">
        <v>380</v>
      </c>
      <c r="AQ8" s="374">
        <v>141</v>
      </c>
      <c r="AR8" s="343" t="s">
        <v>280</v>
      </c>
      <c r="AS8" s="419">
        <v>0.2</v>
      </c>
      <c r="AT8" s="345" t="s">
        <v>509</v>
      </c>
      <c r="AU8" s="345" t="s">
        <v>280</v>
      </c>
      <c r="AV8" s="345">
        <v>2013</v>
      </c>
      <c r="AW8" s="518" t="s">
        <v>40</v>
      </c>
      <c r="AX8" s="526" t="s">
        <v>280</v>
      </c>
      <c r="AY8" s="331" t="s">
        <v>280</v>
      </c>
      <c r="AZ8" s="331" t="s">
        <v>838</v>
      </c>
    </row>
    <row r="9" spans="1:77" ht="21" customHeight="1">
      <c r="A9" s="106" t="str">
        <f>+Liste_services!A14</f>
        <v>La Brigue</v>
      </c>
      <c r="B9" s="295" t="s">
        <v>270</v>
      </c>
      <c r="C9" s="99">
        <v>91.8</v>
      </c>
      <c r="D9" s="297" t="s">
        <v>280</v>
      </c>
      <c r="E9" s="297" t="e">
        <f t="shared" si="0"/>
        <v>#VALUE!</v>
      </c>
      <c r="F9" s="538" t="s">
        <v>280</v>
      </c>
      <c r="G9" s="298" t="s">
        <v>280</v>
      </c>
      <c r="H9" s="249" t="s">
        <v>280</v>
      </c>
      <c r="I9" s="242">
        <v>0</v>
      </c>
      <c r="J9" s="242" t="s">
        <v>280</v>
      </c>
      <c r="K9" s="242"/>
      <c r="L9" s="242" t="s">
        <v>513</v>
      </c>
      <c r="M9" s="250" t="s">
        <v>514</v>
      </c>
      <c r="N9" s="242" t="s">
        <v>515</v>
      </c>
      <c r="O9" s="371" t="s">
        <v>280</v>
      </c>
      <c r="P9" s="242" t="s">
        <v>280</v>
      </c>
      <c r="Q9" s="242" t="s">
        <v>280</v>
      </c>
      <c r="R9" s="242" t="s">
        <v>491</v>
      </c>
      <c r="S9" s="198" t="e">
        <f t="shared" si="1"/>
        <v>#VALUE!</v>
      </c>
      <c r="T9" s="255">
        <v>4.5</v>
      </c>
      <c r="U9" s="242" t="s">
        <v>516</v>
      </c>
      <c r="V9" s="256">
        <v>1</v>
      </c>
      <c r="W9" s="242" t="s">
        <v>280</v>
      </c>
      <c r="X9" s="242" t="s">
        <v>280</v>
      </c>
      <c r="Y9" s="242" t="s">
        <v>280</v>
      </c>
      <c r="Z9" s="242" t="s">
        <v>280</v>
      </c>
      <c r="AA9" s="242" t="s">
        <v>280</v>
      </c>
      <c r="AB9" s="242" t="s">
        <v>280</v>
      </c>
      <c r="AC9" s="99" t="s">
        <v>280</v>
      </c>
      <c r="AD9" s="465" t="s">
        <v>280</v>
      </c>
      <c r="AE9" s="372" t="s">
        <v>280</v>
      </c>
      <c r="AF9" s="242" t="s">
        <v>41</v>
      </c>
      <c r="AG9" s="298" t="s">
        <v>517</v>
      </c>
      <c r="AH9" s="410">
        <v>0</v>
      </c>
      <c r="AI9" s="242" t="s">
        <v>287</v>
      </c>
      <c r="AJ9" s="410" t="s">
        <v>518</v>
      </c>
      <c r="AK9" s="242" t="s">
        <v>519</v>
      </c>
      <c r="AL9" s="242" t="s">
        <v>520</v>
      </c>
      <c r="AM9" s="242" t="s">
        <v>521</v>
      </c>
      <c r="AN9" s="331" t="s">
        <v>644</v>
      </c>
      <c r="AO9" s="331" t="s">
        <v>280</v>
      </c>
      <c r="AP9" s="331" t="s">
        <v>522</v>
      </c>
      <c r="AQ9" s="374">
        <v>150</v>
      </c>
      <c r="AR9" s="343" t="s">
        <v>40</v>
      </c>
      <c r="AS9" s="345" t="s">
        <v>280</v>
      </c>
      <c r="AT9" s="345" t="s">
        <v>523</v>
      </c>
      <c r="AU9" s="345" t="s">
        <v>280</v>
      </c>
      <c r="AV9" s="345">
        <v>2013</v>
      </c>
      <c r="AW9" s="518" t="s">
        <v>40</v>
      </c>
      <c r="AX9" s="526" t="s">
        <v>280</v>
      </c>
      <c r="AY9" s="331" t="s">
        <v>280</v>
      </c>
      <c r="AZ9" s="331" t="s">
        <v>838</v>
      </c>
    </row>
    <row r="10" spans="1:77" ht="21" customHeight="1">
      <c r="A10" s="106" t="str">
        <f>+Liste_services!A8</f>
        <v xml:space="preserve">La Turbie </v>
      </c>
      <c r="B10" s="295" t="s">
        <v>264</v>
      </c>
      <c r="C10" s="99">
        <v>7.4</v>
      </c>
      <c r="D10" s="297">
        <v>3239</v>
      </c>
      <c r="E10" s="297">
        <f t="shared" si="0"/>
        <v>437.70270270270271</v>
      </c>
      <c r="F10" s="242">
        <v>1521</v>
      </c>
      <c r="G10" s="298">
        <f>300*3162/2062</f>
        <v>460.03879728419008</v>
      </c>
      <c r="H10" s="249" t="s">
        <v>280</v>
      </c>
      <c r="I10" s="242">
        <v>1</v>
      </c>
      <c r="J10" s="242">
        <v>2</v>
      </c>
      <c r="K10" s="242"/>
      <c r="L10" s="242" t="s">
        <v>535</v>
      </c>
      <c r="M10" s="242" t="s">
        <v>535</v>
      </c>
      <c r="N10" s="242" t="s">
        <v>535</v>
      </c>
      <c r="O10" s="371">
        <v>265288</v>
      </c>
      <c r="P10" s="242" t="s">
        <v>279</v>
      </c>
      <c r="Q10" s="242" t="s">
        <v>279</v>
      </c>
      <c r="R10" s="242" t="s">
        <v>536</v>
      </c>
      <c r="S10" s="198" t="e">
        <f t="shared" si="1"/>
        <v>#VALUE!</v>
      </c>
      <c r="T10" s="255">
        <v>21</v>
      </c>
      <c r="U10" s="242" t="s">
        <v>280</v>
      </c>
      <c r="V10" s="256">
        <v>1</v>
      </c>
      <c r="W10" s="242">
        <v>974</v>
      </c>
      <c r="X10" s="242">
        <v>50</v>
      </c>
      <c r="Y10" s="242" t="s">
        <v>280</v>
      </c>
      <c r="Z10" s="242">
        <v>4000</v>
      </c>
      <c r="AA10" s="242">
        <v>0</v>
      </c>
      <c r="AB10" s="242">
        <v>14</v>
      </c>
      <c r="AC10" s="99" t="s">
        <v>280</v>
      </c>
      <c r="AD10" s="465">
        <f>0.975/T10</f>
        <v>4.642857142857143E-2</v>
      </c>
      <c r="AE10" s="372">
        <f>Z10/5/(T10*1000)</f>
        <v>3.8095238095238099E-2</v>
      </c>
      <c r="AF10" s="242" t="s">
        <v>41</v>
      </c>
      <c r="AG10" s="298" t="s">
        <v>280</v>
      </c>
      <c r="AH10" s="410" t="s">
        <v>280</v>
      </c>
      <c r="AI10" s="242" t="s">
        <v>768</v>
      </c>
      <c r="AJ10" s="410" t="s">
        <v>769</v>
      </c>
      <c r="AK10" s="242" t="s">
        <v>537</v>
      </c>
      <c r="AL10" s="242" t="s">
        <v>538</v>
      </c>
      <c r="AM10" s="242" t="s">
        <v>539</v>
      </c>
      <c r="AN10" s="331" t="s">
        <v>280</v>
      </c>
      <c r="AO10" s="331" t="s">
        <v>540</v>
      </c>
      <c r="AP10" s="331" t="s">
        <v>767</v>
      </c>
      <c r="AQ10" s="374">
        <v>155</v>
      </c>
      <c r="AR10" s="343" t="s">
        <v>280</v>
      </c>
      <c r="AS10" s="345" t="s">
        <v>280</v>
      </c>
      <c r="AT10" s="345" t="s">
        <v>626</v>
      </c>
      <c r="AU10" s="345" t="s">
        <v>280</v>
      </c>
      <c r="AV10" s="345" t="s">
        <v>40</v>
      </c>
      <c r="AW10" s="518" t="s">
        <v>40</v>
      </c>
      <c r="AX10" s="526" t="s">
        <v>280</v>
      </c>
      <c r="AY10" s="331" t="s">
        <v>280</v>
      </c>
      <c r="AZ10" s="331" t="s">
        <v>838</v>
      </c>
    </row>
    <row r="11" spans="1:77" ht="21" customHeight="1">
      <c r="A11" s="106" t="s">
        <v>241</v>
      </c>
      <c r="B11" s="295" t="s">
        <v>258</v>
      </c>
      <c r="C11" s="99">
        <v>14.1</v>
      </c>
      <c r="D11" s="297">
        <v>30143</v>
      </c>
      <c r="E11" s="297">
        <f t="shared" si="0"/>
        <v>2137.8014184397161</v>
      </c>
      <c r="F11" s="242">
        <v>8877</v>
      </c>
      <c r="G11" s="298">
        <v>0</v>
      </c>
      <c r="H11" s="249">
        <v>1</v>
      </c>
      <c r="I11" s="242">
        <v>11</v>
      </c>
      <c r="J11" s="242">
        <v>4</v>
      </c>
      <c r="K11" s="242"/>
      <c r="L11" s="242" t="s">
        <v>791</v>
      </c>
      <c r="M11" s="250">
        <v>87500</v>
      </c>
      <c r="N11" s="242" t="s">
        <v>376</v>
      </c>
      <c r="O11" s="371">
        <v>2405741</v>
      </c>
      <c r="P11" s="371">
        <v>2834996.3333333335</v>
      </c>
      <c r="Q11" s="242" t="s">
        <v>377</v>
      </c>
      <c r="R11" s="242">
        <v>0</v>
      </c>
      <c r="S11" s="198">
        <f t="shared" si="1"/>
        <v>22192.5</v>
      </c>
      <c r="T11" s="255">
        <v>75.3</v>
      </c>
      <c r="U11" s="242" t="s">
        <v>280</v>
      </c>
      <c r="V11" s="249" t="s">
        <v>280</v>
      </c>
      <c r="W11" s="242">
        <v>5467</v>
      </c>
      <c r="X11" s="242">
        <v>60</v>
      </c>
      <c r="Y11" s="242">
        <v>90</v>
      </c>
      <c r="Z11" s="242">
        <v>810</v>
      </c>
      <c r="AA11" s="242" t="s">
        <v>280</v>
      </c>
      <c r="AB11" s="242">
        <v>69</v>
      </c>
      <c r="AC11" s="99" t="s">
        <v>280</v>
      </c>
      <c r="AD11" s="465">
        <f>(7.88+0.67)/T11</f>
        <v>0.11354581673306774</v>
      </c>
      <c r="AE11" s="372">
        <v>2.7499999999999998E-3</v>
      </c>
      <c r="AF11" s="110" t="s">
        <v>41</v>
      </c>
      <c r="AG11" s="373">
        <v>29</v>
      </c>
      <c r="AH11" s="409" t="s">
        <v>280</v>
      </c>
      <c r="AI11" s="110" t="s">
        <v>837</v>
      </c>
      <c r="AJ11" s="409" t="s">
        <v>754</v>
      </c>
      <c r="AK11" s="110" t="s">
        <v>378</v>
      </c>
      <c r="AL11" s="110" t="s">
        <v>383</v>
      </c>
      <c r="AM11" s="110" t="s">
        <v>625</v>
      </c>
      <c r="AN11" s="331">
        <v>2015</v>
      </c>
      <c r="AO11" s="331" t="s">
        <v>379</v>
      </c>
      <c r="AP11" s="331" t="s">
        <v>380</v>
      </c>
      <c r="AQ11" s="374">
        <v>210</v>
      </c>
      <c r="AR11" s="343" t="s">
        <v>41</v>
      </c>
      <c r="AS11" s="345" t="s">
        <v>280</v>
      </c>
      <c r="AT11" s="345" t="s">
        <v>823</v>
      </c>
      <c r="AU11" s="345" t="s">
        <v>855</v>
      </c>
      <c r="AV11" s="345" t="s">
        <v>382</v>
      </c>
      <c r="AW11" s="518" t="s">
        <v>681</v>
      </c>
      <c r="AX11" s="526">
        <v>15</v>
      </c>
      <c r="AY11" s="529">
        <f>AX11+AG11</f>
        <v>44</v>
      </c>
      <c r="AZ11" s="331" t="s">
        <v>838</v>
      </c>
    </row>
    <row r="12" spans="1:77" ht="21" customHeight="1">
      <c r="A12" s="106" t="str">
        <f>+Liste_services!A11</f>
        <v>Moulinet</v>
      </c>
      <c r="B12" s="295" t="s">
        <v>267</v>
      </c>
      <c r="C12" s="99">
        <v>41.1</v>
      </c>
      <c r="D12" s="297">
        <v>574</v>
      </c>
      <c r="E12" s="297">
        <f t="shared" si="0"/>
        <v>13.965936739659368</v>
      </c>
      <c r="F12" s="242">
        <v>287</v>
      </c>
      <c r="G12" s="298">
        <f>30*246/125</f>
        <v>59.04</v>
      </c>
      <c r="H12" s="249">
        <f>287/329</f>
        <v>0.87234042553191493</v>
      </c>
      <c r="I12" s="242">
        <v>0</v>
      </c>
      <c r="J12" s="242" t="s">
        <v>280</v>
      </c>
      <c r="K12" s="242"/>
      <c r="L12" s="242" t="s">
        <v>642</v>
      </c>
      <c r="M12" s="250">
        <v>1000</v>
      </c>
      <c r="N12" s="245">
        <v>34669</v>
      </c>
      <c r="O12" s="371">
        <v>51329</v>
      </c>
      <c r="P12" s="242" t="s">
        <v>280</v>
      </c>
      <c r="Q12" s="242" t="s">
        <v>545</v>
      </c>
      <c r="R12" s="242" t="s">
        <v>491</v>
      </c>
      <c r="S12" s="198" t="e">
        <f t="shared" si="1"/>
        <v>#VALUE!</v>
      </c>
      <c r="T12" s="255">
        <v>3.7</v>
      </c>
      <c r="U12" s="242" t="s">
        <v>280</v>
      </c>
      <c r="V12" s="256">
        <f>2.7/3.7</f>
        <v>0.72972972972972971</v>
      </c>
      <c r="W12" s="242" t="s">
        <v>280</v>
      </c>
      <c r="X12" s="242" t="s">
        <v>280</v>
      </c>
      <c r="Y12" s="242" t="s">
        <v>280</v>
      </c>
      <c r="Z12" s="242" t="s">
        <v>280</v>
      </c>
      <c r="AA12" s="242" t="s">
        <v>280</v>
      </c>
      <c r="AB12" s="242" t="s">
        <v>280</v>
      </c>
      <c r="AC12" s="99" t="s">
        <v>280</v>
      </c>
      <c r="AD12" s="465" t="s">
        <v>280</v>
      </c>
      <c r="AE12" s="372" t="s">
        <v>280</v>
      </c>
      <c r="AF12" s="242" t="s">
        <v>280</v>
      </c>
      <c r="AG12" s="298">
        <v>0.5</v>
      </c>
      <c r="AH12" s="410">
        <v>0</v>
      </c>
      <c r="AI12" s="242" t="s">
        <v>287</v>
      </c>
      <c r="AJ12" s="410" t="s">
        <v>546</v>
      </c>
      <c r="AK12" s="242" t="s">
        <v>774</v>
      </c>
      <c r="AL12" s="242" t="s">
        <v>547</v>
      </c>
      <c r="AM12" s="242" t="s">
        <v>548</v>
      </c>
      <c r="AN12" s="331">
        <v>2015</v>
      </c>
      <c r="AO12" s="331" t="s">
        <v>549</v>
      </c>
      <c r="AP12" s="331" t="s">
        <v>640</v>
      </c>
      <c r="AQ12" s="374">
        <v>187</v>
      </c>
      <c r="AR12" s="343" t="s">
        <v>40</v>
      </c>
      <c r="AS12" s="345" t="s">
        <v>550</v>
      </c>
      <c r="AT12" s="345" t="s">
        <v>641</v>
      </c>
      <c r="AU12" s="345" t="s">
        <v>280</v>
      </c>
      <c r="AV12" s="345" t="s">
        <v>40</v>
      </c>
      <c r="AW12" s="518" t="s">
        <v>681</v>
      </c>
      <c r="AX12" s="526" t="s">
        <v>280</v>
      </c>
      <c r="AY12" s="331" t="s">
        <v>280</v>
      </c>
      <c r="AZ12" s="331" t="s">
        <v>838</v>
      </c>
    </row>
    <row r="13" spans="1:77" ht="21" customHeight="1">
      <c r="A13" s="106" t="str">
        <f>+Liste_services!A3</f>
        <v>Roquebrune</v>
      </c>
      <c r="B13" s="295" t="s">
        <v>259</v>
      </c>
      <c r="C13" s="99">
        <v>9.3000000000000007</v>
      </c>
      <c r="D13" s="297">
        <v>12980</v>
      </c>
      <c r="E13" s="297">
        <f t="shared" si="0"/>
        <v>1395.6989247311826</v>
      </c>
      <c r="F13" s="242">
        <v>3630</v>
      </c>
      <c r="G13" s="298">
        <f>294*1.98</f>
        <v>582.12</v>
      </c>
      <c r="H13" s="249">
        <f>D13/12646</f>
        <v>1.0264115135220624</v>
      </c>
      <c r="I13" s="242">
        <v>6</v>
      </c>
      <c r="J13" s="252">
        <v>5</v>
      </c>
      <c r="K13" s="252"/>
      <c r="L13" s="242" t="s">
        <v>428</v>
      </c>
      <c r="M13" s="250">
        <v>32200</v>
      </c>
      <c r="N13" s="245">
        <v>41101</v>
      </c>
      <c r="O13" s="371">
        <v>1174652</v>
      </c>
      <c r="P13" s="298">
        <v>1382737.5</v>
      </c>
      <c r="Q13" s="242" t="s">
        <v>377</v>
      </c>
      <c r="R13" s="242">
        <v>100</v>
      </c>
      <c r="S13" s="198">
        <f t="shared" si="1"/>
        <v>9325</v>
      </c>
      <c r="T13" s="255">
        <v>50</v>
      </c>
      <c r="U13" s="242" t="s">
        <v>280</v>
      </c>
      <c r="V13" s="256" t="s">
        <v>429</v>
      </c>
      <c r="W13" s="242"/>
      <c r="X13" s="242" t="s">
        <v>757</v>
      </c>
      <c r="Y13" s="242" t="s">
        <v>817</v>
      </c>
      <c r="Z13" s="242">
        <v>5995</v>
      </c>
      <c r="AA13" s="242">
        <v>0.28999999999999998</v>
      </c>
      <c r="AB13" s="242">
        <v>15</v>
      </c>
      <c r="AC13" s="99" t="s">
        <v>280</v>
      </c>
      <c r="AD13" s="465">
        <f>7.3/T13</f>
        <v>0.14599999999999999</v>
      </c>
      <c r="AE13" s="372">
        <f>Z13/5/(T13*1000)</f>
        <v>2.3980000000000001E-2</v>
      </c>
      <c r="AF13" s="110" t="s">
        <v>41</v>
      </c>
      <c r="AG13" s="373">
        <v>30</v>
      </c>
      <c r="AH13" s="409">
        <v>0</v>
      </c>
      <c r="AI13" s="110" t="s">
        <v>287</v>
      </c>
      <c r="AJ13" s="409" t="s">
        <v>819</v>
      </c>
      <c r="AK13" s="110" t="s">
        <v>758</v>
      </c>
      <c r="AL13" s="110" t="s">
        <v>431</v>
      </c>
      <c r="AM13" s="110" t="s">
        <v>818</v>
      </c>
      <c r="AN13" s="529">
        <v>2012</v>
      </c>
      <c r="AO13" s="331">
        <v>294</v>
      </c>
      <c r="AP13" s="331" t="s">
        <v>151</v>
      </c>
      <c r="AQ13" s="374">
        <v>100</v>
      </c>
      <c r="AR13" s="343" t="s">
        <v>41</v>
      </c>
      <c r="AS13" s="414">
        <f>20/49</f>
        <v>0.40816326530612246</v>
      </c>
      <c r="AT13" s="345" t="s">
        <v>432</v>
      </c>
      <c r="AU13" s="345" t="s">
        <v>433</v>
      </c>
      <c r="AV13" s="345">
        <v>2016</v>
      </c>
      <c r="AW13" s="518" t="s">
        <v>680</v>
      </c>
      <c r="AX13" s="526" t="s">
        <v>280</v>
      </c>
      <c r="AY13" s="331" t="s">
        <v>280</v>
      </c>
      <c r="AZ13" s="331" t="s">
        <v>838</v>
      </c>
    </row>
    <row r="14" spans="1:77" ht="21" customHeight="1">
      <c r="A14" s="106" t="str">
        <f>+Liste_services!A7</f>
        <v>Sainte Agnes</v>
      </c>
      <c r="B14" s="295" t="s">
        <v>263</v>
      </c>
      <c r="C14" s="99">
        <v>9.4</v>
      </c>
      <c r="D14" s="297">
        <v>887</v>
      </c>
      <c r="E14" s="297">
        <f t="shared" si="0"/>
        <v>94.361702127659569</v>
      </c>
      <c r="F14" s="242">
        <v>442</v>
      </c>
      <c r="G14" s="298">
        <f>130*1158/473</f>
        <v>318.26638477801271</v>
      </c>
      <c r="H14" s="249">
        <f>F14/473</f>
        <v>0.93446088794926008</v>
      </c>
      <c r="I14" s="242">
        <v>1</v>
      </c>
      <c r="J14" s="242">
        <v>10</v>
      </c>
      <c r="K14" s="242"/>
      <c r="L14" s="242" t="s">
        <v>559</v>
      </c>
      <c r="M14" s="250">
        <v>700</v>
      </c>
      <c r="N14" s="245">
        <v>24108</v>
      </c>
      <c r="O14" s="371">
        <v>54006</v>
      </c>
      <c r="P14" s="242">
        <v>51240</v>
      </c>
      <c r="Q14" s="242" t="s">
        <v>560</v>
      </c>
      <c r="R14" s="242" t="s">
        <v>491</v>
      </c>
      <c r="S14" s="198" t="e">
        <f t="shared" si="1"/>
        <v>#VALUE!</v>
      </c>
      <c r="T14" s="255">
        <v>9.9</v>
      </c>
      <c r="U14" s="242" t="s">
        <v>280</v>
      </c>
      <c r="V14" s="256">
        <v>1</v>
      </c>
      <c r="W14" s="242">
        <v>270</v>
      </c>
      <c r="X14" s="242">
        <v>45</v>
      </c>
      <c r="Y14" s="242">
        <v>20</v>
      </c>
      <c r="Z14" s="242">
        <v>0</v>
      </c>
      <c r="AA14" s="242" t="s">
        <v>280</v>
      </c>
      <c r="AB14" s="242">
        <v>4</v>
      </c>
      <c r="AC14" s="99" t="s">
        <v>280</v>
      </c>
      <c r="AD14" s="465">
        <f>0.351/T14</f>
        <v>3.5454545454545454E-2</v>
      </c>
      <c r="AE14" s="372">
        <f>Z14/5/(T14*1000)</f>
        <v>0</v>
      </c>
      <c r="AF14" s="242" t="s">
        <v>41</v>
      </c>
      <c r="AG14" s="298" t="s">
        <v>280</v>
      </c>
      <c r="AH14" s="410">
        <v>0</v>
      </c>
      <c r="AI14" s="242" t="s">
        <v>287</v>
      </c>
      <c r="AJ14" s="410" t="s">
        <v>765</v>
      </c>
      <c r="AK14" s="242" t="s">
        <v>763</v>
      </c>
      <c r="AL14" s="242" t="s">
        <v>561</v>
      </c>
      <c r="AM14" s="242" t="s">
        <v>562</v>
      </c>
      <c r="AN14" s="331" t="s">
        <v>280</v>
      </c>
      <c r="AO14" s="331">
        <v>130</v>
      </c>
      <c r="AP14" s="331" t="s">
        <v>563</v>
      </c>
      <c r="AQ14" s="374">
        <v>231</v>
      </c>
      <c r="AR14" s="343" t="s">
        <v>280</v>
      </c>
      <c r="AS14" s="429">
        <v>0.84599999999999997</v>
      </c>
      <c r="AT14" s="345" t="s">
        <v>564</v>
      </c>
      <c r="AU14" s="345" t="s">
        <v>280</v>
      </c>
      <c r="AV14" s="345">
        <v>2005</v>
      </c>
      <c r="AW14" s="518" t="s">
        <v>40</v>
      </c>
      <c r="AX14" s="526" t="s">
        <v>280</v>
      </c>
      <c r="AY14" s="331" t="s">
        <v>280</v>
      </c>
      <c r="AZ14" s="331" t="s">
        <v>839</v>
      </c>
    </row>
    <row r="15" spans="1:77" ht="21" customHeight="1">
      <c r="A15" s="106" t="str">
        <f>+Liste_services!A13</f>
        <v>Saorge</v>
      </c>
      <c r="B15" s="295" t="s">
        <v>269</v>
      </c>
      <c r="C15" s="99">
        <v>86.8</v>
      </c>
      <c r="D15" s="297">
        <v>451</v>
      </c>
      <c r="E15" s="297">
        <f t="shared" si="0"/>
        <v>5.1958525345622117</v>
      </c>
      <c r="F15" s="242">
        <v>465</v>
      </c>
      <c r="G15" s="298" t="s">
        <v>280</v>
      </c>
      <c r="H15" s="251" t="s">
        <v>280</v>
      </c>
      <c r="I15" s="242">
        <v>0</v>
      </c>
      <c r="J15" s="242" t="s">
        <v>280</v>
      </c>
      <c r="K15" s="242"/>
      <c r="L15" s="242" t="s">
        <v>567</v>
      </c>
      <c r="M15" s="250" t="s">
        <v>568</v>
      </c>
      <c r="N15" s="242" t="s">
        <v>569</v>
      </c>
      <c r="O15" s="371" t="s">
        <v>280</v>
      </c>
      <c r="P15" s="242" t="s">
        <v>280</v>
      </c>
      <c r="Q15" s="242" t="s">
        <v>570</v>
      </c>
      <c r="R15" s="242" t="s">
        <v>491</v>
      </c>
      <c r="S15" s="198" t="e">
        <f t="shared" si="1"/>
        <v>#VALUE!</v>
      </c>
      <c r="T15" s="255">
        <v>2.6</v>
      </c>
      <c r="U15" s="242" t="s">
        <v>280</v>
      </c>
      <c r="V15" s="256">
        <v>1</v>
      </c>
      <c r="W15" s="242" t="s">
        <v>280</v>
      </c>
      <c r="X15" s="242">
        <v>10</v>
      </c>
      <c r="Y15" s="242" t="s">
        <v>280</v>
      </c>
      <c r="Z15" s="242">
        <v>0</v>
      </c>
      <c r="AA15" s="242" t="s">
        <v>280</v>
      </c>
      <c r="AB15" s="242">
        <v>12</v>
      </c>
      <c r="AC15" s="99" t="s">
        <v>280</v>
      </c>
      <c r="AD15" s="465" t="s">
        <v>280</v>
      </c>
      <c r="AE15" s="372">
        <f>Z15/5/(T15*1000)</f>
        <v>0</v>
      </c>
      <c r="AF15" s="110" t="s">
        <v>41</v>
      </c>
      <c r="AG15" s="373">
        <v>1.3</v>
      </c>
      <c r="AH15" s="409">
        <v>0</v>
      </c>
      <c r="AI15" s="110" t="s">
        <v>287</v>
      </c>
      <c r="AJ15" s="409" t="s">
        <v>783</v>
      </c>
      <c r="AK15" s="110" t="s">
        <v>779</v>
      </c>
      <c r="AL15" s="110" t="s">
        <v>571</v>
      </c>
      <c r="AM15" s="110" t="s">
        <v>572</v>
      </c>
      <c r="AN15" s="331">
        <v>2012</v>
      </c>
      <c r="AO15" s="331" t="s">
        <v>280</v>
      </c>
      <c r="AP15" s="331" t="s">
        <v>573</v>
      </c>
      <c r="AQ15" s="374">
        <v>129</v>
      </c>
      <c r="AR15" s="343" t="s">
        <v>40</v>
      </c>
      <c r="AS15" s="345" t="s">
        <v>280</v>
      </c>
      <c r="AT15" s="345" t="s">
        <v>445</v>
      </c>
      <c r="AU15" s="345" t="s">
        <v>280</v>
      </c>
      <c r="AV15" s="345">
        <v>2011</v>
      </c>
      <c r="AW15" s="518" t="s">
        <v>681</v>
      </c>
      <c r="AX15" s="526" t="s">
        <v>280</v>
      </c>
      <c r="AY15" s="331" t="s">
        <v>280</v>
      </c>
      <c r="AZ15" s="331" t="s">
        <v>838</v>
      </c>
    </row>
    <row r="16" spans="1:77" ht="21" customHeight="1">
      <c r="A16" s="106" t="str">
        <f>+Liste_services!A10</f>
        <v>Sospel</v>
      </c>
      <c r="B16" s="295" t="s">
        <v>266</v>
      </c>
      <c r="C16" s="99">
        <v>62.4</v>
      </c>
      <c r="D16" s="297">
        <v>3500</v>
      </c>
      <c r="E16" s="297">
        <f t="shared" si="0"/>
        <v>56.089743589743591</v>
      </c>
      <c r="F16" s="242">
        <v>1436</v>
      </c>
      <c r="G16" s="298">
        <v>1000</v>
      </c>
      <c r="H16" s="249">
        <v>0.71799999999999997</v>
      </c>
      <c r="I16" s="242">
        <v>2</v>
      </c>
      <c r="J16" s="242" t="s">
        <v>280</v>
      </c>
      <c r="K16" s="242"/>
      <c r="L16" s="242" t="s">
        <v>771</v>
      </c>
      <c r="M16" s="250" t="s">
        <v>579</v>
      </c>
      <c r="N16" s="245">
        <v>31048</v>
      </c>
      <c r="O16" s="371">
        <v>141545</v>
      </c>
      <c r="P16" s="242">
        <v>138526</v>
      </c>
      <c r="Q16" s="242" t="s">
        <v>560</v>
      </c>
      <c r="R16" s="242" t="s">
        <v>580</v>
      </c>
      <c r="S16" s="198" t="e">
        <f t="shared" si="1"/>
        <v>#VALUE!</v>
      </c>
      <c r="T16" s="255">
        <v>15.48</v>
      </c>
      <c r="U16" s="242" t="s">
        <v>280</v>
      </c>
      <c r="V16" s="256" t="s">
        <v>280</v>
      </c>
      <c r="W16" s="242" t="s">
        <v>280</v>
      </c>
      <c r="X16" s="242">
        <v>84</v>
      </c>
      <c r="Y16" s="242" t="s">
        <v>280</v>
      </c>
      <c r="Z16" s="242" t="s">
        <v>280</v>
      </c>
      <c r="AA16" s="242" t="s">
        <v>280</v>
      </c>
      <c r="AB16" s="242" t="s">
        <v>280</v>
      </c>
      <c r="AC16" s="99" t="s">
        <v>280</v>
      </c>
      <c r="AD16" s="465" t="s">
        <v>280</v>
      </c>
      <c r="AE16" s="372" t="s">
        <v>280</v>
      </c>
      <c r="AF16" s="425"/>
      <c r="AG16" s="298" t="s">
        <v>280</v>
      </c>
      <c r="AH16" s="410">
        <v>0</v>
      </c>
      <c r="AI16" s="242" t="s">
        <v>287</v>
      </c>
      <c r="AJ16" s="410" t="s">
        <v>773</v>
      </c>
      <c r="AK16" s="242" t="s">
        <v>581</v>
      </c>
      <c r="AL16" s="242" t="s">
        <v>582</v>
      </c>
      <c r="AM16" s="242" t="s">
        <v>583</v>
      </c>
      <c r="AN16" s="331">
        <v>2013</v>
      </c>
      <c r="AO16" s="331" t="s">
        <v>584</v>
      </c>
      <c r="AP16" s="331" t="s">
        <v>585</v>
      </c>
      <c r="AQ16" s="374">
        <v>172.8</v>
      </c>
      <c r="AR16" s="343" t="s">
        <v>40</v>
      </c>
      <c r="AS16" s="429">
        <v>0.44700000000000001</v>
      </c>
      <c r="AT16" s="345" t="s">
        <v>558</v>
      </c>
      <c r="AU16" s="345" t="s">
        <v>656</v>
      </c>
      <c r="AV16" s="345">
        <v>2009</v>
      </c>
      <c r="AW16" s="518" t="s">
        <v>680</v>
      </c>
      <c r="AX16" s="526" t="s">
        <v>280</v>
      </c>
      <c r="AY16" s="331" t="s">
        <v>280</v>
      </c>
      <c r="AZ16" s="331" t="s">
        <v>838</v>
      </c>
    </row>
    <row r="17" spans="1:52" ht="171">
      <c r="A17" s="106" t="str">
        <f>+Liste_services!A16</f>
        <v>Tende</v>
      </c>
      <c r="B17" s="295" t="s">
        <v>272</v>
      </c>
      <c r="C17" s="99">
        <v>177.5</v>
      </c>
      <c r="D17" s="297">
        <f>2157-(157*2.33)</f>
        <v>1791.19</v>
      </c>
      <c r="E17" s="296">
        <f>2157/177.5</f>
        <v>12.152112676056339</v>
      </c>
      <c r="F17" s="242">
        <f>1881-157</f>
        <v>1724</v>
      </c>
      <c r="G17" s="298">
        <f>157*2.33</f>
        <v>365.81</v>
      </c>
      <c r="H17" s="249">
        <f>F17/1881</f>
        <v>0.91653375863902176</v>
      </c>
      <c r="I17" s="242">
        <v>2</v>
      </c>
      <c r="J17" s="101">
        <v>3</v>
      </c>
      <c r="K17" s="242"/>
      <c r="L17" s="242" t="s">
        <v>332</v>
      </c>
      <c r="M17" s="250" t="s">
        <v>320</v>
      </c>
      <c r="N17" s="242" t="s">
        <v>276</v>
      </c>
      <c r="O17" s="469" t="s">
        <v>646</v>
      </c>
      <c r="P17" s="101" t="s">
        <v>646</v>
      </c>
      <c r="Q17" s="242" t="s">
        <v>334</v>
      </c>
      <c r="R17" s="242">
        <v>0</v>
      </c>
      <c r="S17" s="198">
        <f t="shared" si="1"/>
        <v>4310</v>
      </c>
      <c r="T17" s="300" t="s">
        <v>275</v>
      </c>
      <c r="U17" s="300" t="s">
        <v>275</v>
      </c>
      <c r="V17" s="300" t="s">
        <v>275</v>
      </c>
      <c r="W17" s="242">
        <f>2138-157</f>
        <v>1981</v>
      </c>
      <c r="X17" s="242" t="s">
        <v>277</v>
      </c>
      <c r="Y17" s="242" t="s">
        <v>277</v>
      </c>
      <c r="Z17" s="242" t="s">
        <v>277</v>
      </c>
      <c r="AA17" s="242" t="s">
        <v>277</v>
      </c>
      <c r="AB17" s="242" t="s">
        <v>337</v>
      </c>
      <c r="AC17" s="99" t="s">
        <v>278</v>
      </c>
      <c r="AD17" s="465" t="s">
        <v>277</v>
      </c>
      <c r="AE17" s="372" t="s">
        <v>277</v>
      </c>
      <c r="AF17" s="242" t="s">
        <v>41</v>
      </c>
      <c r="AG17" s="298" t="s">
        <v>280</v>
      </c>
      <c r="AH17" s="410">
        <v>0</v>
      </c>
      <c r="AI17" s="242" t="s">
        <v>151</v>
      </c>
      <c r="AJ17" s="410" t="s">
        <v>790</v>
      </c>
      <c r="AK17" s="242" t="s">
        <v>788</v>
      </c>
      <c r="AL17" s="242" t="s">
        <v>348</v>
      </c>
      <c r="AM17" s="242" t="s">
        <v>347</v>
      </c>
      <c r="AN17" s="331" t="s">
        <v>684</v>
      </c>
      <c r="AO17" s="331">
        <v>157</v>
      </c>
      <c r="AP17" s="331" t="s">
        <v>151</v>
      </c>
      <c r="AQ17" s="374">
        <v>150</v>
      </c>
      <c r="AR17" s="343" t="s">
        <v>40</v>
      </c>
      <c r="AS17" s="345" t="s">
        <v>280</v>
      </c>
      <c r="AT17" s="345" t="s">
        <v>350</v>
      </c>
      <c r="AU17" s="345" t="s">
        <v>335</v>
      </c>
      <c r="AV17" s="345">
        <v>2009</v>
      </c>
      <c r="AW17" s="518" t="s">
        <v>40</v>
      </c>
      <c r="AX17" s="526" t="s">
        <v>280</v>
      </c>
      <c r="AY17" s="331" t="s">
        <v>280</v>
      </c>
      <c r="AZ17" s="331" t="s">
        <v>838</v>
      </c>
    </row>
    <row r="18" spans="1:52">
      <c r="A18" s="108"/>
      <c r="B18" s="90"/>
      <c r="C18" s="90"/>
      <c r="D18" s="90"/>
      <c r="E18" s="90"/>
      <c r="F18" s="90"/>
      <c r="G18" s="90"/>
      <c r="H18" s="90"/>
      <c r="I18" s="90"/>
      <c r="J18" s="90"/>
      <c r="K18" s="90"/>
      <c r="L18" s="90"/>
      <c r="M18" s="90"/>
      <c r="N18" s="90"/>
      <c r="O18" s="90"/>
      <c r="P18" s="90"/>
      <c r="W18" s="90"/>
    </row>
    <row r="19" spans="1:52">
      <c r="A19" s="108"/>
      <c r="B19" s="90"/>
      <c r="C19" s="90"/>
      <c r="D19" s="90"/>
      <c r="E19" s="90"/>
      <c r="F19" s="90"/>
      <c r="G19" s="90"/>
      <c r="H19" s="90"/>
      <c r="I19" s="90"/>
      <c r="J19" s="90"/>
      <c r="K19" s="90"/>
      <c r="L19" s="90"/>
      <c r="M19" s="90"/>
      <c r="N19" s="90"/>
      <c r="O19" s="90"/>
      <c r="P19" s="90"/>
      <c r="W19" s="90"/>
    </row>
    <row r="20" spans="1:52">
      <c r="A20" s="108"/>
      <c r="B20" s="90"/>
      <c r="C20" s="90"/>
      <c r="D20" s="90"/>
      <c r="E20" s="90"/>
      <c r="F20" s="90"/>
      <c r="G20" s="90"/>
      <c r="H20" s="90"/>
      <c r="I20" s="90"/>
      <c r="J20" s="90"/>
      <c r="K20" s="90"/>
      <c r="L20" s="90"/>
      <c r="M20" s="90"/>
      <c r="N20" s="90"/>
      <c r="O20" s="90"/>
      <c r="P20" s="90"/>
      <c r="W20" s="90"/>
    </row>
    <row r="21" spans="1:52">
      <c r="A21" s="108"/>
      <c r="B21" s="90"/>
      <c r="C21" s="90"/>
      <c r="D21" s="90"/>
      <c r="E21" s="90"/>
      <c r="F21" s="90"/>
      <c r="G21" s="90"/>
      <c r="H21" s="90"/>
      <c r="I21" s="90"/>
      <c r="J21" s="90"/>
      <c r="K21" s="90"/>
      <c r="L21" s="90"/>
      <c r="M21" s="90"/>
      <c r="N21" s="90"/>
      <c r="O21" s="90"/>
      <c r="P21" s="90"/>
      <c r="W21" s="90"/>
    </row>
    <row r="22" spans="1:52">
      <c r="A22" s="108"/>
      <c r="B22" s="90"/>
      <c r="C22" s="90"/>
      <c r="D22" s="90"/>
      <c r="E22" s="90"/>
      <c r="F22" s="90"/>
      <c r="G22" s="90"/>
      <c r="H22" s="90"/>
      <c r="I22" s="90"/>
      <c r="J22" s="90"/>
      <c r="K22" s="90"/>
      <c r="L22" s="90"/>
      <c r="M22" s="90"/>
      <c r="N22" s="90"/>
      <c r="O22" s="90"/>
      <c r="P22" s="90"/>
      <c r="W22" s="90"/>
    </row>
    <row r="23" spans="1:52">
      <c r="A23" s="108"/>
      <c r="B23" s="90"/>
      <c r="C23" s="90"/>
      <c r="D23" s="90"/>
      <c r="E23" s="90"/>
      <c r="F23" s="90"/>
      <c r="G23" s="90"/>
      <c r="H23" s="90"/>
      <c r="I23" s="90"/>
      <c r="J23" s="90"/>
      <c r="K23" s="90"/>
      <c r="L23" s="90"/>
      <c r="M23" s="90"/>
      <c r="N23" s="90"/>
      <c r="O23" s="90"/>
      <c r="P23" s="90"/>
      <c r="W23" s="90"/>
    </row>
    <row r="24" spans="1:52">
      <c r="A24" s="108"/>
      <c r="B24" s="90"/>
      <c r="C24" s="90"/>
      <c r="D24" s="90"/>
      <c r="E24" s="90"/>
      <c r="F24" s="90"/>
      <c r="G24" s="90"/>
      <c r="H24" s="90"/>
      <c r="I24" s="90"/>
      <c r="J24" s="90"/>
      <c r="K24" s="90"/>
      <c r="L24" s="90"/>
      <c r="M24" s="90"/>
      <c r="N24" s="90"/>
      <c r="O24" s="90"/>
      <c r="P24" s="90"/>
      <c r="W24" s="90"/>
    </row>
    <row r="25" spans="1:52">
      <c r="A25" s="108"/>
      <c r="B25" s="90"/>
      <c r="C25" s="90"/>
      <c r="D25" s="90"/>
      <c r="E25" s="90"/>
      <c r="F25" s="90"/>
      <c r="G25" s="90"/>
      <c r="H25" s="90"/>
      <c r="I25" s="90"/>
      <c r="J25" s="90"/>
      <c r="K25" s="90"/>
      <c r="L25" s="90"/>
      <c r="M25" s="90"/>
      <c r="N25" s="90"/>
      <c r="O25" s="90"/>
      <c r="P25" s="90"/>
      <c r="W25" s="90"/>
    </row>
    <row r="26" spans="1:52">
      <c r="A26" s="108"/>
      <c r="B26" s="90"/>
      <c r="C26" s="90"/>
      <c r="D26" s="90"/>
      <c r="E26" s="90"/>
      <c r="F26" s="90"/>
      <c r="G26" s="90"/>
      <c r="H26" s="90"/>
      <c r="I26" s="90"/>
      <c r="J26" s="90"/>
      <c r="K26" s="90"/>
      <c r="L26" s="90"/>
      <c r="M26" s="90"/>
      <c r="N26" s="90"/>
      <c r="O26" s="90"/>
      <c r="P26" s="90"/>
      <c r="W26" s="90"/>
    </row>
    <row r="27" spans="1:52">
      <c r="A27" s="108"/>
      <c r="B27" s="90"/>
      <c r="C27" s="90"/>
      <c r="D27" s="90"/>
      <c r="E27" s="90"/>
      <c r="F27" s="90"/>
      <c r="G27" s="90"/>
      <c r="H27" s="90"/>
      <c r="I27" s="90"/>
      <c r="J27" s="90"/>
      <c r="K27" s="90"/>
      <c r="L27" s="90"/>
      <c r="M27" s="90"/>
      <c r="N27" s="90"/>
      <c r="O27" s="90"/>
      <c r="P27" s="90"/>
      <c r="W27" s="90"/>
    </row>
    <row r="28" spans="1:52">
      <c r="A28" s="108"/>
      <c r="B28" s="90"/>
      <c r="C28" s="90"/>
      <c r="D28" s="90"/>
      <c r="E28" s="90"/>
      <c r="F28" s="90"/>
      <c r="G28" s="90"/>
      <c r="H28" s="90"/>
      <c r="I28" s="90"/>
      <c r="J28" s="90"/>
      <c r="K28" s="90"/>
      <c r="L28" s="90"/>
      <c r="M28" s="90"/>
      <c r="N28" s="90"/>
      <c r="O28" s="90"/>
      <c r="P28" s="90"/>
      <c r="W28" s="90"/>
    </row>
    <row r="29" spans="1:52">
      <c r="A29" s="108"/>
      <c r="B29" s="90"/>
      <c r="C29" s="90"/>
      <c r="D29" s="90"/>
      <c r="E29" s="90"/>
      <c r="F29" s="90"/>
      <c r="G29" s="90"/>
      <c r="H29" s="90"/>
      <c r="I29" s="90"/>
      <c r="J29" s="90"/>
      <c r="K29" s="90"/>
      <c r="L29" s="90"/>
      <c r="M29" s="90"/>
      <c r="N29" s="90"/>
      <c r="O29" s="90"/>
      <c r="P29" s="90"/>
      <c r="W29" s="90"/>
    </row>
    <row r="30" spans="1:52">
      <c r="A30" s="108"/>
      <c r="B30" s="90"/>
      <c r="C30" s="90"/>
      <c r="D30" s="90"/>
      <c r="E30" s="90"/>
      <c r="F30" s="90"/>
      <c r="G30" s="90"/>
      <c r="H30" s="90"/>
      <c r="I30" s="90"/>
      <c r="J30" s="90"/>
      <c r="K30" s="90"/>
      <c r="L30" s="90"/>
      <c r="M30" s="90"/>
      <c r="N30" s="90"/>
      <c r="O30" s="90"/>
      <c r="P30" s="90"/>
      <c r="W30" s="90"/>
    </row>
    <row r="31" spans="1:52">
      <c r="A31" s="108"/>
      <c r="B31" s="90"/>
      <c r="C31" s="90"/>
      <c r="D31" s="90"/>
      <c r="E31" s="90"/>
      <c r="F31" s="90"/>
      <c r="G31" s="90"/>
      <c r="H31" s="90"/>
      <c r="I31" s="90"/>
      <c r="J31" s="90"/>
      <c r="K31" s="90"/>
      <c r="L31" s="90"/>
      <c r="M31" s="90"/>
      <c r="N31" s="90"/>
      <c r="O31" s="90"/>
      <c r="P31" s="90"/>
      <c r="W31" s="90"/>
    </row>
    <row r="32" spans="1:52">
      <c r="A32" s="108"/>
      <c r="B32" s="90"/>
      <c r="C32" s="90"/>
      <c r="D32" s="90"/>
      <c r="E32" s="90"/>
      <c r="F32" s="90"/>
      <c r="G32" s="90"/>
      <c r="H32" s="90"/>
      <c r="I32" s="90"/>
      <c r="J32" s="90"/>
      <c r="K32" s="90"/>
      <c r="L32" s="90"/>
      <c r="M32" s="90"/>
      <c r="N32" s="90"/>
      <c r="O32" s="90"/>
      <c r="P32" s="90"/>
      <c r="W32" s="90"/>
    </row>
    <row r="33" spans="1:23">
      <c r="A33" s="108"/>
      <c r="B33" s="90"/>
      <c r="C33" s="90"/>
      <c r="D33" s="90"/>
      <c r="E33" s="90"/>
      <c r="F33" s="90"/>
      <c r="G33" s="90"/>
      <c r="H33" s="90"/>
      <c r="I33" s="90"/>
      <c r="J33" s="90"/>
      <c r="K33" s="90"/>
      <c r="L33" s="90"/>
      <c r="M33" s="90"/>
      <c r="N33" s="90"/>
      <c r="O33" s="90"/>
      <c r="P33" s="90"/>
      <c r="W33" s="90"/>
    </row>
    <row r="34" spans="1:23">
      <c r="A34" s="108"/>
      <c r="B34" s="90"/>
      <c r="C34" s="90"/>
      <c r="D34" s="90"/>
      <c r="E34" s="90"/>
      <c r="F34" s="90"/>
      <c r="G34" s="90"/>
      <c r="H34" s="90"/>
      <c r="I34" s="90"/>
      <c r="J34" s="90"/>
      <c r="K34" s="90"/>
      <c r="L34" s="90"/>
      <c r="M34" s="90"/>
      <c r="N34" s="90"/>
      <c r="O34" s="90"/>
      <c r="P34" s="90"/>
      <c r="W34" s="90"/>
    </row>
    <row r="35" spans="1:23">
      <c r="A35" s="108"/>
      <c r="B35" s="90"/>
      <c r="C35" s="90"/>
      <c r="D35" s="90"/>
      <c r="E35" s="90"/>
      <c r="F35" s="90"/>
      <c r="G35" s="90"/>
      <c r="H35" s="90"/>
      <c r="I35" s="90"/>
      <c r="J35" s="90"/>
      <c r="K35" s="90"/>
      <c r="L35" s="90"/>
      <c r="M35" s="90"/>
      <c r="N35" s="90"/>
      <c r="O35" s="90"/>
      <c r="P35" s="90"/>
      <c r="W35" s="90"/>
    </row>
    <row r="36" spans="1:23">
      <c r="A36" s="108"/>
      <c r="B36" s="90"/>
      <c r="C36" s="90"/>
      <c r="D36" s="90"/>
      <c r="E36" s="90"/>
      <c r="F36" s="90"/>
      <c r="G36" s="90"/>
      <c r="H36" s="90"/>
      <c r="I36" s="90"/>
      <c r="J36" s="90"/>
      <c r="K36" s="90"/>
      <c r="L36" s="90"/>
      <c r="M36" s="90"/>
      <c r="N36" s="90"/>
      <c r="O36" s="90"/>
      <c r="P36" s="90"/>
      <c r="W36" s="90"/>
    </row>
    <row r="37" spans="1:23">
      <c r="A37" s="108"/>
      <c r="B37" s="90"/>
      <c r="C37" s="90"/>
      <c r="D37" s="90"/>
      <c r="E37" s="90"/>
      <c r="F37" s="90"/>
      <c r="G37" s="90"/>
      <c r="H37" s="90"/>
      <c r="I37" s="90"/>
      <c r="J37" s="90"/>
      <c r="K37" s="90"/>
      <c r="L37" s="90"/>
      <c r="M37" s="90"/>
      <c r="N37" s="90"/>
      <c r="O37" s="90"/>
      <c r="P37" s="90"/>
      <c r="W37" s="90"/>
    </row>
    <row r="38" spans="1:23">
      <c r="A38" s="108"/>
      <c r="B38" s="90"/>
      <c r="C38" s="90"/>
      <c r="D38" s="90"/>
      <c r="E38" s="90"/>
      <c r="F38" s="90"/>
      <c r="G38" s="90"/>
      <c r="H38" s="90"/>
      <c r="I38" s="90"/>
      <c r="J38" s="90"/>
      <c r="K38" s="90"/>
      <c r="L38" s="90"/>
      <c r="M38" s="90"/>
      <c r="N38" s="90"/>
      <c r="O38" s="90"/>
      <c r="P38" s="90"/>
      <c r="W38" s="90"/>
    </row>
    <row r="39" spans="1:23">
      <c r="A39" s="108"/>
      <c r="B39" s="90"/>
      <c r="C39" s="90"/>
      <c r="D39" s="90"/>
      <c r="E39" s="90"/>
      <c r="F39" s="90"/>
      <c r="G39" s="90"/>
      <c r="H39" s="90"/>
      <c r="I39" s="90"/>
      <c r="J39" s="90"/>
      <c r="K39" s="90"/>
      <c r="L39" s="90"/>
      <c r="M39" s="90"/>
      <c r="N39" s="90"/>
      <c r="O39" s="90"/>
      <c r="P39" s="90"/>
      <c r="W39" s="90"/>
    </row>
    <row r="40" spans="1:23">
      <c r="A40" s="108"/>
      <c r="B40" s="90"/>
      <c r="C40" s="90"/>
      <c r="D40" s="90"/>
      <c r="E40" s="90"/>
      <c r="F40" s="90"/>
      <c r="G40" s="90"/>
      <c r="H40" s="90"/>
      <c r="I40" s="90"/>
      <c r="J40" s="90"/>
      <c r="K40" s="90"/>
      <c r="L40" s="90"/>
      <c r="M40" s="90"/>
      <c r="N40" s="90"/>
      <c r="O40" s="90"/>
      <c r="P40" s="90"/>
      <c r="W40" s="90"/>
    </row>
    <row r="41" spans="1:23">
      <c r="A41" s="108"/>
      <c r="B41" s="90"/>
      <c r="C41" s="90"/>
      <c r="D41" s="90"/>
      <c r="E41" s="90"/>
      <c r="F41" s="90"/>
      <c r="G41" s="90"/>
      <c r="H41" s="90"/>
      <c r="I41" s="90"/>
      <c r="J41" s="90"/>
      <c r="K41" s="90"/>
      <c r="L41" s="90"/>
      <c r="M41" s="90"/>
      <c r="N41" s="90"/>
      <c r="O41" s="90"/>
      <c r="P41" s="90"/>
      <c r="W41" s="90"/>
    </row>
    <row r="42" spans="1:23">
      <c r="A42" s="108"/>
      <c r="B42" s="90"/>
      <c r="C42" s="90"/>
      <c r="D42" s="90"/>
      <c r="E42" s="90"/>
      <c r="F42" s="90"/>
      <c r="G42" s="90"/>
      <c r="H42" s="90"/>
      <c r="I42" s="90"/>
      <c r="J42" s="90"/>
      <c r="K42" s="90"/>
      <c r="L42" s="90"/>
      <c r="M42" s="90"/>
      <c r="N42" s="90"/>
      <c r="O42" s="90"/>
      <c r="P42" s="90"/>
      <c r="W42" s="90"/>
    </row>
    <row r="43" spans="1:23">
      <c r="A43" s="108"/>
      <c r="B43" s="90"/>
      <c r="C43" s="90"/>
      <c r="D43" s="90"/>
      <c r="E43" s="90"/>
      <c r="F43" s="90"/>
      <c r="G43" s="90"/>
      <c r="H43" s="90"/>
      <c r="I43" s="90"/>
      <c r="J43" s="90"/>
      <c r="K43" s="90"/>
      <c r="L43" s="90"/>
      <c r="M43" s="90"/>
      <c r="N43" s="90"/>
      <c r="O43" s="90"/>
      <c r="P43" s="90"/>
      <c r="W43" s="90"/>
    </row>
    <row r="44" spans="1:23">
      <c r="A44" s="108"/>
      <c r="B44" s="90"/>
      <c r="C44" s="90"/>
      <c r="D44" s="90"/>
      <c r="E44" s="90"/>
      <c r="F44" s="90"/>
      <c r="G44" s="90"/>
      <c r="H44" s="90"/>
      <c r="I44" s="90"/>
      <c r="J44" s="90"/>
      <c r="K44" s="90"/>
      <c r="L44" s="90"/>
      <c r="M44" s="90"/>
      <c r="N44" s="90"/>
      <c r="O44" s="90"/>
      <c r="P44" s="90"/>
      <c r="W44" s="90"/>
    </row>
    <row r="45" spans="1:23">
      <c r="A45" s="108"/>
      <c r="B45" s="90"/>
      <c r="C45" s="90"/>
      <c r="D45" s="90"/>
      <c r="E45" s="90"/>
      <c r="F45" s="90"/>
      <c r="G45" s="90"/>
      <c r="H45" s="90"/>
      <c r="I45" s="90"/>
      <c r="J45" s="90"/>
      <c r="K45" s="90"/>
      <c r="L45" s="90"/>
      <c r="M45" s="90"/>
      <c r="N45" s="90"/>
      <c r="O45" s="90"/>
      <c r="P45" s="90"/>
      <c r="W45" s="90"/>
    </row>
    <row r="46" spans="1:23">
      <c r="A46" s="108"/>
      <c r="B46" s="90"/>
      <c r="C46" s="90"/>
      <c r="D46" s="90"/>
      <c r="E46" s="90"/>
      <c r="F46" s="90"/>
      <c r="G46" s="90"/>
      <c r="H46" s="90"/>
      <c r="I46" s="90"/>
      <c r="J46" s="90"/>
      <c r="K46" s="90"/>
      <c r="L46" s="90"/>
      <c r="M46" s="90"/>
      <c r="N46" s="90"/>
      <c r="O46" s="90"/>
      <c r="P46" s="90"/>
      <c r="W46" s="90"/>
    </row>
    <row r="47" spans="1:23">
      <c r="A47" s="108"/>
      <c r="B47" s="90"/>
      <c r="C47" s="90"/>
      <c r="D47" s="90"/>
      <c r="E47" s="90"/>
      <c r="F47" s="90"/>
      <c r="G47" s="90"/>
      <c r="H47" s="90"/>
      <c r="I47" s="90"/>
      <c r="J47" s="90"/>
      <c r="K47" s="90"/>
      <c r="L47" s="90"/>
      <c r="M47" s="90"/>
      <c r="N47" s="90"/>
      <c r="O47" s="90"/>
      <c r="P47" s="90"/>
      <c r="W47" s="90"/>
    </row>
    <row r="48" spans="1:23">
      <c r="A48" s="108"/>
      <c r="B48" s="90"/>
      <c r="C48" s="90"/>
      <c r="D48" s="90"/>
      <c r="E48" s="90"/>
      <c r="F48" s="90"/>
      <c r="G48" s="90"/>
      <c r="H48" s="90"/>
      <c r="I48" s="90"/>
      <c r="J48" s="90"/>
      <c r="K48" s="90"/>
      <c r="L48" s="90"/>
      <c r="M48" s="90"/>
      <c r="N48" s="90"/>
      <c r="O48" s="90"/>
      <c r="P48" s="90"/>
      <c r="W48" s="90"/>
    </row>
    <row r="49" spans="1:23">
      <c r="A49" s="108"/>
      <c r="B49" s="90"/>
      <c r="C49" s="90"/>
      <c r="D49" s="90"/>
      <c r="E49" s="90"/>
      <c r="F49" s="90"/>
      <c r="G49" s="90"/>
      <c r="H49" s="90"/>
      <c r="I49" s="90"/>
      <c r="J49" s="90"/>
      <c r="K49" s="90"/>
      <c r="L49" s="90"/>
      <c r="M49" s="90"/>
      <c r="N49" s="90"/>
      <c r="O49" s="90"/>
      <c r="P49" s="90"/>
      <c r="W49" s="90"/>
    </row>
    <row r="50" spans="1:23">
      <c r="A50" s="108"/>
      <c r="B50" s="90"/>
      <c r="C50" s="90"/>
      <c r="D50" s="90"/>
      <c r="E50" s="90"/>
      <c r="F50" s="90"/>
      <c r="G50" s="90"/>
      <c r="H50" s="90"/>
      <c r="I50" s="90"/>
      <c r="J50" s="90"/>
      <c r="K50" s="90"/>
      <c r="L50" s="90"/>
      <c r="M50" s="90"/>
      <c r="N50" s="90"/>
      <c r="O50" s="90"/>
      <c r="P50" s="90"/>
      <c r="W50" s="90"/>
    </row>
    <row r="51" spans="1:23">
      <c r="A51" s="108"/>
      <c r="B51" s="90"/>
      <c r="C51" s="90"/>
      <c r="D51" s="90"/>
      <c r="E51" s="90"/>
      <c r="F51" s="90"/>
      <c r="G51" s="90"/>
      <c r="H51" s="90"/>
      <c r="I51" s="90"/>
      <c r="J51" s="90"/>
      <c r="K51" s="90"/>
      <c r="L51" s="90"/>
      <c r="M51" s="90"/>
      <c r="N51" s="90"/>
      <c r="O51" s="90"/>
      <c r="P51" s="90"/>
      <c r="W51" s="90"/>
    </row>
    <row r="52" spans="1:23">
      <c r="A52" s="108"/>
      <c r="B52" s="90"/>
      <c r="C52" s="90"/>
      <c r="D52" s="90"/>
      <c r="E52" s="90"/>
      <c r="F52" s="90"/>
      <c r="G52" s="90"/>
      <c r="H52" s="90"/>
      <c r="I52" s="90"/>
      <c r="J52" s="90"/>
      <c r="K52" s="90"/>
      <c r="L52" s="90"/>
      <c r="M52" s="90"/>
      <c r="N52" s="90"/>
      <c r="O52" s="90"/>
      <c r="P52" s="90"/>
      <c r="W52" s="90"/>
    </row>
    <row r="53" spans="1:23">
      <c r="A53" s="108"/>
      <c r="B53" s="90"/>
      <c r="C53" s="90"/>
      <c r="D53" s="90"/>
      <c r="E53" s="90"/>
      <c r="F53" s="90"/>
      <c r="G53" s="90"/>
      <c r="H53" s="90"/>
      <c r="I53" s="90"/>
      <c r="J53" s="90"/>
      <c r="K53" s="90"/>
      <c r="L53" s="90"/>
      <c r="M53" s="90"/>
      <c r="N53" s="90"/>
      <c r="O53" s="90"/>
      <c r="P53" s="90"/>
      <c r="W53" s="90"/>
    </row>
    <row r="54" spans="1:23">
      <c r="A54" s="108"/>
      <c r="B54" s="90"/>
      <c r="C54" s="90"/>
      <c r="D54" s="90"/>
      <c r="E54" s="90"/>
      <c r="F54" s="90"/>
      <c r="G54" s="90"/>
      <c r="H54" s="90"/>
      <c r="I54" s="90"/>
      <c r="J54" s="90"/>
      <c r="K54" s="90"/>
      <c r="L54" s="90"/>
      <c r="M54" s="90"/>
      <c r="N54" s="90"/>
      <c r="O54" s="90"/>
      <c r="P54" s="90"/>
      <c r="W54" s="90"/>
    </row>
    <row r="55" spans="1:23">
      <c r="A55" s="108"/>
      <c r="B55" s="90"/>
      <c r="C55" s="90"/>
      <c r="D55" s="90"/>
      <c r="E55" s="90"/>
      <c r="F55" s="90"/>
      <c r="G55" s="90"/>
      <c r="H55" s="90"/>
      <c r="I55" s="90"/>
      <c r="J55" s="90"/>
      <c r="K55" s="90"/>
      <c r="L55" s="90"/>
      <c r="M55" s="90"/>
      <c r="N55" s="90"/>
      <c r="O55" s="90"/>
      <c r="P55" s="90"/>
      <c r="W55" s="90"/>
    </row>
    <row r="56" spans="1:23">
      <c r="A56" s="108"/>
      <c r="B56" s="90"/>
      <c r="C56" s="90"/>
      <c r="D56" s="90"/>
      <c r="E56" s="90"/>
      <c r="F56" s="90"/>
      <c r="G56" s="90"/>
      <c r="H56" s="90"/>
      <c r="I56" s="90"/>
      <c r="J56" s="90"/>
      <c r="K56" s="90"/>
      <c r="L56" s="90"/>
      <c r="M56" s="90"/>
      <c r="N56" s="90"/>
      <c r="O56" s="90"/>
      <c r="P56" s="90"/>
      <c r="W56" s="90"/>
    </row>
    <row r="57" spans="1:23">
      <c r="A57" s="108"/>
      <c r="B57" s="90"/>
      <c r="C57" s="90"/>
      <c r="D57" s="90"/>
      <c r="E57" s="90"/>
      <c r="F57" s="90"/>
      <c r="G57" s="90"/>
      <c r="H57" s="90"/>
      <c r="I57" s="90"/>
      <c r="J57" s="90"/>
      <c r="K57" s="90"/>
      <c r="L57" s="90"/>
      <c r="M57" s="90"/>
      <c r="N57" s="90"/>
      <c r="O57" s="90"/>
      <c r="P57" s="90"/>
      <c r="W57" s="90"/>
    </row>
    <row r="58" spans="1:23">
      <c r="A58" s="108"/>
      <c r="B58" s="90"/>
      <c r="C58" s="90"/>
      <c r="D58" s="90"/>
      <c r="E58" s="90"/>
      <c r="F58" s="90"/>
      <c r="G58" s="90"/>
      <c r="H58" s="90"/>
      <c r="I58" s="90"/>
      <c r="J58" s="90"/>
      <c r="K58" s="90"/>
      <c r="L58" s="90"/>
      <c r="M58" s="90"/>
      <c r="N58" s="90"/>
      <c r="O58" s="90"/>
      <c r="P58" s="90"/>
      <c r="W58" s="90"/>
    </row>
    <row r="59" spans="1:23">
      <c r="A59" s="108"/>
      <c r="B59" s="90"/>
      <c r="C59" s="90"/>
      <c r="D59" s="90"/>
      <c r="E59" s="90"/>
      <c r="F59" s="90"/>
      <c r="G59" s="90"/>
      <c r="H59" s="90"/>
      <c r="I59" s="90"/>
      <c r="J59" s="90"/>
      <c r="K59" s="90"/>
      <c r="L59" s="90"/>
      <c r="M59" s="90"/>
      <c r="N59" s="90"/>
      <c r="O59" s="90"/>
      <c r="P59" s="90"/>
      <c r="W59" s="90"/>
    </row>
    <row r="60" spans="1:23">
      <c r="A60" s="108"/>
      <c r="B60" s="90"/>
      <c r="C60" s="90"/>
      <c r="D60" s="90"/>
      <c r="E60" s="90"/>
      <c r="F60" s="90"/>
      <c r="G60" s="90"/>
      <c r="H60" s="90"/>
      <c r="I60" s="90"/>
      <c r="J60" s="90"/>
      <c r="K60" s="90"/>
      <c r="L60" s="90"/>
      <c r="M60" s="90"/>
      <c r="N60" s="90"/>
      <c r="O60" s="90"/>
      <c r="P60" s="90"/>
      <c r="W60" s="90"/>
    </row>
    <row r="61" spans="1:23">
      <c r="A61" s="108"/>
      <c r="B61" s="90"/>
      <c r="C61" s="90"/>
      <c r="D61" s="90"/>
      <c r="E61" s="90"/>
      <c r="F61" s="90"/>
      <c r="G61" s="90"/>
      <c r="H61" s="90"/>
      <c r="I61" s="90"/>
      <c r="J61" s="90"/>
      <c r="K61" s="90"/>
      <c r="L61" s="90"/>
      <c r="M61" s="90"/>
      <c r="N61" s="90"/>
      <c r="O61" s="90"/>
      <c r="P61" s="90"/>
      <c r="W61" s="90"/>
    </row>
    <row r="62" spans="1:23">
      <c r="A62" s="108"/>
      <c r="B62" s="90"/>
      <c r="C62" s="90"/>
      <c r="D62" s="90"/>
      <c r="E62" s="90"/>
      <c r="F62" s="90"/>
      <c r="G62" s="90"/>
      <c r="H62" s="90"/>
      <c r="I62" s="90"/>
      <c r="J62" s="90"/>
      <c r="K62" s="90"/>
      <c r="L62" s="90"/>
      <c r="M62" s="90"/>
      <c r="N62" s="90"/>
      <c r="O62" s="90"/>
      <c r="P62" s="90"/>
      <c r="W62" s="90"/>
    </row>
    <row r="63" spans="1:23">
      <c r="A63" s="108"/>
      <c r="B63" s="90"/>
      <c r="C63" s="90"/>
      <c r="D63" s="90"/>
      <c r="E63" s="90"/>
      <c r="F63" s="90"/>
      <c r="G63" s="90"/>
      <c r="H63" s="90"/>
      <c r="I63" s="90"/>
      <c r="J63" s="90"/>
      <c r="K63" s="90"/>
      <c r="L63" s="90"/>
      <c r="M63" s="90"/>
      <c r="N63" s="90"/>
      <c r="O63" s="90"/>
      <c r="P63" s="90"/>
      <c r="W63" s="90"/>
    </row>
    <row r="64" spans="1:23">
      <c r="A64" s="108"/>
      <c r="B64" s="90"/>
      <c r="C64" s="90"/>
      <c r="D64" s="90"/>
      <c r="E64" s="90"/>
      <c r="F64" s="90"/>
      <c r="G64" s="90"/>
      <c r="H64" s="90"/>
      <c r="I64" s="90"/>
      <c r="J64" s="90"/>
      <c r="K64" s="90"/>
      <c r="L64" s="90"/>
      <c r="M64" s="90"/>
      <c r="N64" s="90"/>
      <c r="O64" s="90"/>
      <c r="P64" s="90"/>
      <c r="W64" s="90"/>
    </row>
    <row r="65" spans="1:23">
      <c r="A65" s="108"/>
      <c r="B65" s="90"/>
      <c r="C65" s="90"/>
      <c r="D65" s="90"/>
      <c r="E65" s="90"/>
      <c r="F65" s="90"/>
      <c r="G65" s="90"/>
      <c r="H65" s="90"/>
      <c r="I65" s="90"/>
      <c r="J65" s="90"/>
      <c r="K65" s="90"/>
      <c r="L65" s="90"/>
      <c r="M65" s="90"/>
      <c r="N65" s="90"/>
      <c r="O65" s="90"/>
      <c r="P65" s="90"/>
      <c r="W65" s="90"/>
    </row>
    <row r="66" spans="1:23">
      <c r="A66" s="108"/>
      <c r="B66" s="90"/>
      <c r="C66" s="90"/>
      <c r="D66" s="90"/>
      <c r="E66" s="90"/>
      <c r="F66" s="90"/>
      <c r="G66" s="90"/>
      <c r="H66" s="90"/>
      <c r="I66" s="90"/>
      <c r="J66" s="90"/>
      <c r="K66" s="90"/>
      <c r="L66" s="90"/>
      <c r="M66" s="90"/>
      <c r="N66" s="90"/>
      <c r="O66" s="90"/>
      <c r="P66" s="90"/>
      <c r="W66" s="90"/>
    </row>
    <row r="67" spans="1:23">
      <c r="A67" s="108"/>
      <c r="B67" s="90"/>
      <c r="C67" s="90"/>
      <c r="D67" s="90"/>
      <c r="E67" s="90"/>
      <c r="F67" s="90"/>
      <c r="G67" s="90"/>
      <c r="H67" s="90"/>
      <c r="I67" s="90"/>
      <c r="J67" s="90"/>
      <c r="K67" s="90"/>
      <c r="L67" s="90"/>
      <c r="M67" s="90"/>
      <c r="N67" s="90"/>
      <c r="O67" s="90"/>
      <c r="P67" s="90"/>
      <c r="W67" s="90"/>
    </row>
    <row r="68" spans="1:23">
      <c r="A68" s="108"/>
      <c r="B68" s="90"/>
      <c r="C68" s="90"/>
      <c r="D68" s="90"/>
      <c r="E68" s="90"/>
      <c r="F68" s="90"/>
      <c r="G68" s="90"/>
      <c r="H68" s="90"/>
      <c r="I68" s="90"/>
      <c r="J68" s="90"/>
      <c r="K68" s="90"/>
      <c r="L68" s="90"/>
      <c r="M68" s="90"/>
      <c r="N68" s="90"/>
      <c r="O68" s="90"/>
      <c r="P68" s="90"/>
      <c r="W68" s="90"/>
    </row>
    <row r="69" spans="1:23">
      <c r="A69" s="108"/>
      <c r="B69" s="90"/>
      <c r="C69" s="90"/>
      <c r="D69" s="90"/>
      <c r="E69" s="90"/>
      <c r="F69" s="90"/>
      <c r="G69" s="90"/>
      <c r="H69" s="90"/>
      <c r="I69" s="90"/>
      <c r="J69" s="90"/>
      <c r="K69" s="90"/>
      <c r="L69" s="90"/>
      <c r="M69" s="90"/>
      <c r="N69" s="90"/>
      <c r="O69" s="90"/>
      <c r="P69" s="90"/>
      <c r="W69" s="90"/>
    </row>
    <row r="70" spans="1:23">
      <c r="A70" s="108"/>
      <c r="B70" s="90"/>
      <c r="C70" s="90"/>
      <c r="D70" s="90"/>
      <c r="E70" s="90"/>
      <c r="F70" s="90"/>
      <c r="G70" s="90"/>
      <c r="H70" s="90"/>
      <c r="I70" s="90"/>
      <c r="J70" s="90"/>
      <c r="K70" s="90"/>
      <c r="L70" s="90"/>
      <c r="M70" s="90"/>
      <c r="N70" s="90"/>
      <c r="O70" s="90"/>
      <c r="P70" s="90"/>
      <c r="W70" s="90"/>
    </row>
    <row r="71" spans="1:23">
      <c r="A71" s="108"/>
      <c r="B71" s="90"/>
      <c r="C71" s="90"/>
      <c r="D71" s="90"/>
      <c r="E71" s="90"/>
      <c r="F71" s="90"/>
      <c r="G71" s="90"/>
      <c r="H71" s="90"/>
      <c r="I71" s="90"/>
      <c r="J71" s="90"/>
      <c r="K71" s="90"/>
      <c r="L71" s="90"/>
      <c r="M71" s="90"/>
      <c r="N71" s="90"/>
      <c r="O71" s="90"/>
      <c r="P71" s="90"/>
      <c r="W71" s="90"/>
    </row>
    <row r="72" spans="1:23">
      <c r="A72" s="108"/>
      <c r="B72" s="90"/>
      <c r="C72" s="90"/>
      <c r="D72" s="90"/>
      <c r="E72" s="90"/>
      <c r="F72" s="90"/>
      <c r="G72" s="90"/>
      <c r="H72" s="90"/>
      <c r="I72" s="90"/>
      <c r="J72" s="90"/>
      <c r="K72" s="90"/>
      <c r="L72" s="90"/>
      <c r="M72" s="90"/>
      <c r="N72" s="90"/>
      <c r="O72" s="90"/>
      <c r="P72" s="90"/>
      <c r="W72" s="90"/>
    </row>
    <row r="73" spans="1:23">
      <c r="A73" s="108"/>
      <c r="B73" s="90"/>
      <c r="C73" s="90"/>
      <c r="D73" s="90"/>
      <c r="E73" s="90"/>
      <c r="F73" s="90"/>
      <c r="G73" s="90"/>
      <c r="H73" s="90"/>
      <c r="I73" s="90"/>
      <c r="J73" s="90"/>
      <c r="K73" s="90"/>
      <c r="L73" s="90"/>
      <c r="M73" s="90"/>
      <c r="N73" s="90"/>
      <c r="O73" s="90"/>
      <c r="P73" s="90"/>
      <c r="W73" s="90"/>
    </row>
    <row r="74" spans="1:23">
      <c r="A74" s="108"/>
      <c r="B74" s="90"/>
      <c r="C74" s="90"/>
      <c r="D74" s="90"/>
      <c r="E74" s="90"/>
      <c r="F74" s="90"/>
      <c r="G74" s="90"/>
      <c r="H74" s="90"/>
      <c r="I74" s="90"/>
      <c r="J74" s="90"/>
      <c r="K74" s="90"/>
      <c r="L74" s="90"/>
      <c r="M74" s="90"/>
      <c r="N74" s="90"/>
      <c r="O74" s="90"/>
      <c r="P74" s="90"/>
      <c r="W74" s="90"/>
    </row>
    <row r="75" spans="1:23">
      <c r="A75" s="108"/>
      <c r="B75" s="90"/>
      <c r="C75" s="90"/>
      <c r="D75" s="90"/>
      <c r="E75" s="90"/>
      <c r="F75" s="90"/>
      <c r="G75" s="90"/>
      <c r="H75" s="90"/>
      <c r="I75" s="90"/>
      <c r="J75" s="90"/>
      <c r="K75" s="90"/>
      <c r="L75" s="90"/>
      <c r="M75" s="90"/>
      <c r="N75" s="90"/>
      <c r="O75" s="90"/>
      <c r="P75" s="90"/>
      <c r="W75" s="90"/>
    </row>
    <row r="76" spans="1:23">
      <c r="A76" s="108"/>
      <c r="B76" s="90"/>
      <c r="C76" s="90"/>
      <c r="D76" s="90"/>
      <c r="E76" s="90"/>
      <c r="F76" s="90"/>
      <c r="G76" s="90"/>
      <c r="H76" s="90"/>
      <c r="I76" s="90"/>
      <c r="J76" s="90"/>
      <c r="K76" s="90"/>
      <c r="L76" s="90"/>
      <c r="M76" s="90"/>
      <c r="N76" s="90"/>
      <c r="O76" s="90"/>
      <c r="P76" s="90"/>
      <c r="W76" s="90"/>
    </row>
    <row r="77" spans="1:23">
      <c r="A77" s="108"/>
      <c r="B77" s="90"/>
      <c r="C77" s="90"/>
      <c r="D77" s="90"/>
      <c r="E77" s="90"/>
      <c r="F77" s="90"/>
      <c r="G77" s="90"/>
      <c r="H77" s="90"/>
      <c r="I77" s="90"/>
      <c r="J77" s="90"/>
      <c r="K77" s="90"/>
      <c r="L77" s="90"/>
      <c r="M77" s="90"/>
      <c r="N77" s="90"/>
      <c r="O77" s="90"/>
      <c r="P77" s="90"/>
      <c r="W77" s="90"/>
    </row>
    <row r="78" spans="1:23">
      <c r="A78" s="108"/>
      <c r="B78" s="90"/>
      <c r="C78" s="90"/>
      <c r="D78" s="90"/>
      <c r="E78" s="90"/>
      <c r="F78" s="90"/>
      <c r="G78" s="90"/>
      <c r="H78" s="90"/>
      <c r="I78" s="90"/>
      <c r="J78" s="90"/>
      <c r="K78" s="90"/>
      <c r="L78" s="90"/>
      <c r="M78" s="90"/>
      <c r="N78" s="90"/>
      <c r="O78" s="90"/>
      <c r="P78" s="90"/>
      <c r="W78" s="90"/>
    </row>
    <row r="79" spans="1:23">
      <c r="A79" s="108"/>
      <c r="B79" s="90"/>
      <c r="C79" s="90"/>
      <c r="D79" s="90"/>
      <c r="E79" s="90"/>
      <c r="F79" s="90"/>
      <c r="G79" s="90"/>
      <c r="H79" s="90"/>
      <c r="I79" s="90"/>
      <c r="J79" s="90"/>
      <c r="K79" s="90"/>
      <c r="L79" s="90"/>
      <c r="M79" s="90"/>
      <c r="N79" s="90"/>
      <c r="O79" s="90"/>
      <c r="P79" s="90"/>
      <c r="W79" s="90"/>
    </row>
    <row r="80" spans="1:23">
      <c r="A80" s="108"/>
      <c r="B80" s="90"/>
      <c r="C80" s="90"/>
      <c r="D80" s="90"/>
      <c r="E80" s="90"/>
      <c r="F80" s="90"/>
      <c r="G80" s="90"/>
      <c r="H80" s="90"/>
      <c r="I80" s="90"/>
      <c r="J80" s="90"/>
      <c r="K80" s="90"/>
      <c r="L80" s="90"/>
      <c r="M80" s="90"/>
      <c r="N80" s="90"/>
      <c r="O80" s="90"/>
      <c r="P80" s="90"/>
      <c r="W80" s="90"/>
    </row>
    <row r="81" spans="1:23">
      <c r="A81" s="108"/>
      <c r="B81" s="90"/>
      <c r="C81" s="90"/>
      <c r="D81" s="90"/>
      <c r="E81" s="90"/>
      <c r="F81" s="90"/>
      <c r="G81" s="90"/>
      <c r="H81" s="90"/>
      <c r="I81" s="90"/>
      <c r="J81" s="90"/>
      <c r="K81" s="90"/>
      <c r="L81" s="90"/>
      <c r="M81" s="90"/>
      <c r="N81" s="90"/>
      <c r="O81" s="90"/>
      <c r="P81" s="90"/>
      <c r="W81" s="90"/>
    </row>
    <row r="82" spans="1:23">
      <c r="A82" s="108"/>
      <c r="B82" s="90"/>
      <c r="C82" s="90"/>
      <c r="D82" s="90"/>
      <c r="E82" s="90"/>
      <c r="F82" s="90"/>
      <c r="G82" s="90"/>
      <c r="H82" s="90"/>
      <c r="I82" s="90"/>
      <c r="J82" s="90"/>
      <c r="K82" s="90"/>
      <c r="L82" s="90"/>
      <c r="M82" s="90"/>
      <c r="N82" s="90"/>
      <c r="O82" s="90"/>
      <c r="P82" s="90"/>
      <c r="W82" s="90"/>
    </row>
    <row r="83" spans="1:23">
      <c r="A83" s="108"/>
      <c r="B83" s="90"/>
      <c r="C83" s="90"/>
      <c r="D83" s="90"/>
      <c r="E83" s="90"/>
      <c r="F83" s="90"/>
      <c r="G83" s="90"/>
      <c r="H83" s="90"/>
      <c r="I83" s="90"/>
      <c r="J83" s="90"/>
      <c r="K83" s="90"/>
      <c r="L83" s="90"/>
      <c r="M83" s="90"/>
      <c r="N83" s="90"/>
      <c r="O83" s="90"/>
      <c r="P83" s="90"/>
      <c r="W83" s="90"/>
    </row>
    <row r="84" spans="1:23">
      <c r="A84" s="108"/>
      <c r="B84" s="90"/>
      <c r="C84" s="90"/>
      <c r="D84" s="90"/>
      <c r="E84" s="90"/>
      <c r="F84" s="90"/>
      <c r="G84" s="90"/>
      <c r="H84" s="90"/>
      <c r="I84" s="90"/>
      <c r="J84" s="90"/>
      <c r="K84" s="90"/>
      <c r="L84" s="90"/>
      <c r="M84" s="90"/>
      <c r="N84" s="90"/>
      <c r="O84" s="90"/>
      <c r="P84" s="90"/>
      <c r="W84" s="90"/>
    </row>
    <row r="85" spans="1:23">
      <c r="A85" s="108"/>
      <c r="B85" s="90"/>
      <c r="C85" s="90"/>
      <c r="D85" s="90"/>
      <c r="E85" s="90"/>
      <c r="F85" s="90"/>
      <c r="G85" s="90"/>
      <c r="H85" s="90"/>
      <c r="I85" s="90"/>
      <c r="J85" s="90"/>
      <c r="K85" s="90"/>
      <c r="L85" s="90"/>
      <c r="M85" s="90"/>
      <c r="N85" s="90"/>
      <c r="O85" s="90"/>
      <c r="P85" s="90"/>
      <c r="W85" s="90"/>
    </row>
    <row r="86" spans="1:23">
      <c r="A86" s="108"/>
      <c r="B86" s="90"/>
      <c r="C86" s="90"/>
      <c r="D86" s="90"/>
      <c r="E86" s="90"/>
      <c r="F86" s="90"/>
      <c r="G86" s="90"/>
      <c r="H86" s="90"/>
      <c r="I86" s="90"/>
      <c r="J86" s="90"/>
      <c r="K86" s="90"/>
      <c r="L86" s="90"/>
      <c r="M86" s="90"/>
      <c r="N86" s="90"/>
      <c r="O86" s="90"/>
      <c r="P86" s="90"/>
      <c r="W86" s="90"/>
    </row>
    <row r="87" spans="1:23">
      <c r="A87" s="108"/>
      <c r="B87" s="90"/>
      <c r="C87" s="90"/>
      <c r="D87" s="90"/>
      <c r="E87" s="90"/>
      <c r="F87" s="90"/>
      <c r="G87" s="90"/>
      <c r="H87" s="90"/>
      <c r="I87" s="90"/>
      <c r="J87" s="90"/>
      <c r="K87" s="90"/>
      <c r="L87" s="90"/>
      <c r="M87" s="90"/>
      <c r="N87" s="90"/>
      <c r="O87" s="90"/>
      <c r="P87" s="90"/>
      <c r="W87" s="90"/>
    </row>
    <row r="88" spans="1:23">
      <c r="A88" s="108"/>
      <c r="B88" s="90"/>
      <c r="C88" s="90"/>
      <c r="D88" s="90"/>
      <c r="E88" s="90"/>
      <c r="F88" s="90"/>
      <c r="G88" s="90"/>
      <c r="H88" s="90"/>
      <c r="I88" s="90"/>
      <c r="J88" s="90"/>
      <c r="K88" s="90"/>
      <c r="L88" s="90"/>
      <c r="M88" s="90"/>
      <c r="N88" s="90"/>
      <c r="O88" s="90"/>
      <c r="P88" s="90"/>
      <c r="W88" s="90"/>
    </row>
    <row r="89" spans="1:23">
      <c r="A89" s="108"/>
      <c r="B89" s="90"/>
      <c r="C89" s="90"/>
      <c r="D89" s="90"/>
      <c r="E89" s="90"/>
      <c r="F89" s="90"/>
      <c r="G89" s="90"/>
      <c r="H89" s="90"/>
      <c r="I89" s="90"/>
      <c r="J89" s="90"/>
      <c r="K89" s="90"/>
      <c r="L89" s="90"/>
      <c r="M89" s="90"/>
      <c r="N89" s="90"/>
      <c r="O89" s="90"/>
      <c r="P89" s="90"/>
      <c r="W89" s="90"/>
    </row>
    <row r="90" spans="1:23">
      <c r="A90" s="108"/>
      <c r="B90" s="90"/>
      <c r="C90" s="90"/>
      <c r="D90" s="90"/>
      <c r="E90" s="90"/>
      <c r="F90" s="90"/>
      <c r="G90" s="90"/>
      <c r="H90" s="90"/>
      <c r="I90" s="90"/>
      <c r="J90" s="90"/>
      <c r="K90" s="90"/>
      <c r="L90" s="90"/>
      <c r="M90" s="90"/>
      <c r="N90" s="90"/>
      <c r="O90" s="90"/>
      <c r="P90" s="90"/>
      <c r="W90" s="90"/>
    </row>
    <row r="91" spans="1:23">
      <c r="A91" s="108"/>
      <c r="B91" s="90"/>
      <c r="C91" s="90"/>
      <c r="D91" s="90"/>
      <c r="E91" s="90"/>
      <c r="F91" s="90"/>
      <c r="G91" s="90"/>
      <c r="H91" s="90"/>
      <c r="I91" s="90"/>
      <c r="J91" s="90"/>
      <c r="K91" s="90"/>
      <c r="L91" s="90"/>
      <c r="M91" s="90"/>
      <c r="N91" s="90"/>
      <c r="O91" s="90"/>
      <c r="P91" s="90"/>
      <c r="W91" s="90"/>
    </row>
    <row r="92" spans="1:23">
      <c r="A92" s="108"/>
      <c r="B92" s="90"/>
      <c r="C92" s="90"/>
      <c r="D92" s="90"/>
      <c r="E92" s="90"/>
      <c r="F92" s="90"/>
      <c r="G92" s="90"/>
      <c r="H92" s="90"/>
      <c r="I92" s="90"/>
      <c r="J92" s="90"/>
      <c r="K92" s="90"/>
      <c r="L92" s="90"/>
      <c r="M92" s="90"/>
      <c r="N92" s="90"/>
      <c r="O92" s="90"/>
      <c r="P92" s="90"/>
      <c r="W92" s="90"/>
    </row>
    <row r="93" spans="1:23">
      <c r="A93" s="108"/>
      <c r="B93" s="90"/>
      <c r="C93" s="90"/>
      <c r="D93" s="90"/>
      <c r="E93" s="90"/>
      <c r="F93" s="90"/>
      <c r="G93" s="90"/>
      <c r="H93" s="90"/>
      <c r="I93" s="90"/>
      <c r="J93" s="90"/>
      <c r="K93" s="90"/>
      <c r="L93" s="90"/>
      <c r="M93" s="90"/>
      <c r="N93" s="90"/>
      <c r="O93" s="90"/>
      <c r="P93" s="90"/>
      <c r="W93" s="90"/>
    </row>
    <row r="94" spans="1:23">
      <c r="A94" s="108"/>
      <c r="B94" s="90"/>
      <c r="C94" s="90"/>
      <c r="D94" s="90"/>
      <c r="E94" s="90"/>
      <c r="F94" s="90"/>
      <c r="G94" s="90"/>
      <c r="H94" s="90"/>
      <c r="I94" s="90"/>
      <c r="J94" s="90"/>
      <c r="K94" s="90"/>
      <c r="L94" s="90"/>
      <c r="M94" s="90"/>
      <c r="N94" s="90"/>
      <c r="O94" s="90"/>
      <c r="P94" s="90"/>
      <c r="W94" s="90"/>
    </row>
    <row r="95" spans="1:23">
      <c r="A95" s="108"/>
      <c r="B95" s="90"/>
      <c r="C95" s="90"/>
      <c r="D95" s="90"/>
      <c r="E95" s="90"/>
      <c r="F95" s="90"/>
      <c r="G95" s="90"/>
      <c r="H95" s="90"/>
      <c r="I95" s="90"/>
      <c r="J95" s="90"/>
      <c r="K95" s="90"/>
      <c r="L95" s="90"/>
      <c r="M95" s="90"/>
      <c r="N95" s="90"/>
      <c r="O95" s="90"/>
      <c r="P95" s="90"/>
      <c r="W95" s="90"/>
    </row>
    <row r="96" spans="1:23">
      <c r="A96" s="108"/>
      <c r="B96" s="90"/>
      <c r="C96" s="90"/>
      <c r="D96" s="90"/>
      <c r="E96" s="90"/>
      <c r="F96" s="90"/>
      <c r="G96" s="90"/>
      <c r="H96" s="90"/>
      <c r="I96" s="90"/>
      <c r="J96" s="90"/>
      <c r="K96" s="90"/>
      <c r="L96" s="90"/>
      <c r="M96" s="90"/>
      <c r="N96" s="90"/>
      <c r="O96" s="90"/>
      <c r="P96" s="90"/>
      <c r="W96" s="90"/>
    </row>
    <row r="97" spans="1:23">
      <c r="A97" s="108"/>
      <c r="B97" s="90"/>
      <c r="C97" s="90"/>
      <c r="D97" s="90"/>
      <c r="E97" s="90"/>
      <c r="F97" s="90"/>
      <c r="G97" s="90"/>
      <c r="H97" s="90"/>
      <c r="I97" s="90"/>
      <c r="J97" s="90"/>
      <c r="K97" s="90"/>
      <c r="L97" s="90"/>
      <c r="M97" s="90"/>
      <c r="N97" s="90"/>
      <c r="O97" s="90"/>
      <c r="P97" s="90"/>
      <c r="W97" s="90"/>
    </row>
    <row r="98" spans="1:23">
      <c r="A98" s="108"/>
      <c r="B98" s="90"/>
      <c r="C98" s="90"/>
      <c r="D98" s="90"/>
      <c r="E98" s="90"/>
      <c r="F98" s="90"/>
      <c r="G98" s="90"/>
      <c r="H98" s="90"/>
      <c r="I98" s="90"/>
      <c r="J98" s="90"/>
      <c r="K98" s="90"/>
      <c r="L98" s="90"/>
      <c r="M98" s="90"/>
      <c r="N98" s="90"/>
      <c r="O98" s="90"/>
      <c r="P98" s="90"/>
      <c r="W98" s="90"/>
    </row>
    <row r="99" spans="1:23">
      <c r="A99" s="108"/>
      <c r="B99" s="90"/>
      <c r="C99" s="90"/>
      <c r="D99" s="90"/>
      <c r="E99" s="90"/>
      <c r="F99" s="90"/>
      <c r="G99" s="90"/>
      <c r="H99" s="90"/>
      <c r="I99" s="90"/>
      <c r="J99" s="90"/>
      <c r="K99" s="90"/>
      <c r="L99" s="90"/>
      <c r="M99" s="90"/>
      <c r="N99" s="90"/>
      <c r="O99" s="90"/>
      <c r="P99" s="90"/>
      <c r="W99" s="90"/>
    </row>
    <row r="100" spans="1:23">
      <c r="A100" s="108"/>
      <c r="B100" s="90"/>
      <c r="C100" s="90"/>
      <c r="D100" s="90"/>
      <c r="E100" s="90"/>
      <c r="F100" s="90"/>
      <c r="G100" s="90"/>
      <c r="H100" s="90"/>
      <c r="I100" s="90"/>
      <c r="J100" s="90"/>
      <c r="K100" s="90"/>
      <c r="L100" s="90"/>
      <c r="M100" s="90"/>
      <c r="N100" s="90"/>
      <c r="O100" s="90"/>
      <c r="P100" s="90"/>
      <c r="W100" s="90"/>
    </row>
    <row r="101" spans="1:23">
      <c r="A101" s="108"/>
      <c r="B101" s="90"/>
      <c r="C101" s="90"/>
      <c r="D101" s="90"/>
      <c r="E101" s="90"/>
      <c r="F101" s="90"/>
      <c r="G101" s="90"/>
      <c r="H101" s="90"/>
      <c r="I101" s="90"/>
      <c r="J101" s="90"/>
      <c r="K101" s="90"/>
      <c r="L101" s="90"/>
      <c r="M101" s="90"/>
      <c r="N101" s="90"/>
      <c r="O101" s="90"/>
      <c r="P101" s="90"/>
      <c r="W101" s="90"/>
    </row>
    <row r="102" spans="1:23">
      <c r="A102" s="108"/>
      <c r="B102" s="90"/>
      <c r="C102" s="90"/>
      <c r="D102" s="90"/>
      <c r="E102" s="90"/>
      <c r="F102" s="90"/>
      <c r="G102" s="90"/>
      <c r="H102" s="90"/>
      <c r="I102" s="90"/>
      <c r="J102" s="90"/>
      <c r="K102" s="90"/>
      <c r="L102" s="90"/>
      <c r="M102" s="90"/>
      <c r="N102" s="90"/>
      <c r="O102" s="90"/>
      <c r="P102" s="90"/>
      <c r="W102" s="90"/>
    </row>
    <row r="103" spans="1:23">
      <c r="A103" s="108"/>
      <c r="B103" s="90"/>
      <c r="C103" s="90"/>
      <c r="D103" s="90"/>
      <c r="E103" s="90"/>
      <c r="F103" s="90"/>
      <c r="G103" s="90"/>
      <c r="H103" s="90"/>
      <c r="I103" s="90"/>
      <c r="J103" s="90"/>
      <c r="K103" s="90"/>
      <c r="L103" s="90"/>
      <c r="M103" s="90"/>
      <c r="N103" s="90"/>
      <c r="O103" s="90"/>
      <c r="P103" s="90"/>
      <c r="W103" s="90"/>
    </row>
    <row r="104" spans="1:23">
      <c r="A104" s="108"/>
      <c r="B104" s="90"/>
      <c r="C104" s="90"/>
      <c r="D104" s="90"/>
      <c r="E104" s="90"/>
      <c r="F104" s="90"/>
      <c r="G104" s="90"/>
      <c r="H104" s="90"/>
      <c r="I104" s="90"/>
      <c r="J104" s="90"/>
      <c r="K104" s="90"/>
      <c r="L104" s="90"/>
      <c r="M104" s="90"/>
      <c r="N104" s="90"/>
      <c r="O104" s="90"/>
      <c r="P104" s="90"/>
      <c r="W104" s="90"/>
    </row>
    <row r="105" spans="1:23">
      <c r="A105" s="108"/>
      <c r="B105" s="90"/>
      <c r="C105" s="90"/>
      <c r="D105" s="90"/>
      <c r="E105" s="90"/>
      <c r="F105" s="90"/>
      <c r="G105" s="90"/>
      <c r="H105" s="90"/>
      <c r="I105" s="90"/>
      <c r="J105" s="90"/>
      <c r="K105" s="90"/>
      <c r="L105" s="90"/>
      <c r="M105" s="90"/>
      <c r="N105" s="90"/>
      <c r="O105" s="90"/>
      <c r="P105" s="90"/>
      <c r="W105" s="90"/>
    </row>
    <row r="106" spans="1:23">
      <c r="A106" s="108"/>
      <c r="B106" s="90"/>
      <c r="C106" s="90"/>
      <c r="D106" s="90"/>
      <c r="E106" s="90"/>
      <c r="F106" s="90"/>
      <c r="G106" s="90"/>
      <c r="H106" s="90"/>
      <c r="I106" s="90"/>
      <c r="J106" s="90"/>
      <c r="K106" s="90"/>
      <c r="L106" s="90"/>
      <c r="M106" s="90"/>
      <c r="N106" s="90"/>
      <c r="O106" s="90"/>
      <c r="P106" s="90"/>
      <c r="W106" s="90"/>
    </row>
    <row r="107" spans="1:23">
      <c r="A107" s="108"/>
      <c r="B107" s="90"/>
      <c r="C107" s="90"/>
      <c r="D107" s="90"/>
      <c r="E107" s="90"/>
      <c r="F107" s="90"/>
      <c r="G107" s="90"/>
      <c r="H107" s="90"/>
      <c r="I107" s="90"/>
      <c r="J107" s="90"/>
      <c r="K107" s="90"/>
      <c r="L107" s="90"/>
      <c r="M107" s="90"/>
      <c r="N107" s="90"/>
      <c r="O107" s="90"/>
      <c r="P107" s="90"/>
      <c r="W107" s="90"/>
    </row>
    <row r="108" spans="1:23">
      <c r="A108" s="108"/>
      <c r="B108" s="90"/>
      <c r="C108" s="90"/>
      <c r="D108" s="90"/>
      <c r="E108" s="90"/>
      <c r="F108" s="90"/>
      <c r="G108" s="90"/>
      <c r="H108" s="90"/>
      <c r="I108" s="90"/>
      <c r="J108" s="90"/>
      <c r="K108" s="90"/>
      <c r="L108" s="90"/>
      <c r="M108" s="90"/>
      <c r="N108" s="90"/>
      <c r="O108" s="90"/>
      <c r="P108" s="90"/>
      <c r="W108" s="90"/>
    </row>
    <row r="109" spans="1:23">
      <c r="A109" s="108"/>
      <c r="B109" s="90"/>
      <c r="C109" s="90"/>
      <c r="D109" s="90"/>
      <c r="E109" s="90"/>
      <c r="F109" s="90"/>
      <c r="G109" s="90"/>
      <c r="H109" s="90"/>
      <c r="I109" s="90"/>
      <c r="J109" s="90"/>
      <c r="K109" s="90"/>
      <c r="L109" s="90"/>
      <c r="M109" s="90"/>
      <c r="N109" s="90"/>
      <c r="O109" s="90"/>
      <c r="P109" s="90"/>
      <c r="W109" s="90"/>
    </row>
    <row r="110" spans="1:23">
      <c r="A110" s="108"/>
      <c r="B110" s="90"/>
      <c r="C110" s="90"/>
      <c r="D110" s="90"/>
      <c r="E110" s="90"/>
      <c r="F110" s="90"/>
      <c r="G110" s="90"/>
      <c r="H110" s="90"/>
      <c r="I110" s="90"/>
      <c r="J110" s="90"/>
      <c r="K110" s="90"/>
      <c r="L110" s="90"/>
      <c r="M110" s="90"/>
      <c r="N110" s="90"/>
      <c r="O110" s="90"/>
      <c r="P110" s="90"/>
      <c r="W110" s="90"/>
    </row>
    <row r="111" spans="1:23">
      <c r="A111" s="108"/>
      <c r="B111" s="90"/>
      <c r="C111" s="90"/>
      <c r="D111" s="90"/>
      <c r="E111" s="90"/>
      <c r="F111" s="90"/>
      <c r="G111" s="90"/>
      <c r="H111" s="90"/>
      <c r="I111" s="90"/>
      <c r="J111" s="90"/>
      <c r="K111" s="90"/>
      <c r="L111" s="90"/>
      <c r="M111" s="90"/>
      <c r="N111" s="90"/>
      <c r="O111" s="90"/>
      <c r="P111" s="90"/>
      <c r="W111" s="90"/>
    </row>
    <row r="112" spans="1:23">
      <c r="A112" s="108"/>
      <c r="B112" s="90"/>
      <c r="C112" s="90"/>
      <c r="D112" s="90"/>
      <c r="E112" s="90"/>
      <c r="F112" s="90"/>
      <c r="G112" s="90"/>
      <c r="H112" s="90"/>
      <c r="I112" s="90"/>
      <c r="J112" s="90"/>
      <c r="K112" s="90"/>
      <c r="L112" s="90"/>
      <c r="M112" s="90"/>
      <c r="N112" s="90"/>
      <c r="O112" s="90"/>
      <c r="P112" s="90"/>
      <c r="W112" s="90"/>
    </row>
    <row r="113" spans="1:23">
      <c r="A113" s="108"/>
      <c r="B113" s="90"/>
      <c r="C113" s="90"/>
      <c r="D113" s="90"/>
      <c r="E113" s="90"/>
      <c r="F113" s="90"/>
      <c r="G113" s="90"/>
      <c r="H113" s="90"/>
      <c r="I113" s="90"/>
      <c r="J113" s="90"/>
      <c r="K113" s="90"/>
      <c r="L113" s="90"/>
      <c r="M113" s="90"/>
      <c r="N113" s="90"/>
      <c r="O113" s="90"/>
      <c r="P113" s="90"/>
      <c r="W113" s="90"/>
    </row>
    <row r="114" spans="1:23">
      <c r="A114" s="108"/>
      <c r="B114" s="90"/>
      <c r="C114" s="90"/>
      <c r="D114" s="90"/>
      <c r="E114" s="90"/>
      <c r="F114" s="90"/>
      <c r="G114" s="90"/>
      <c r="H114" s="90"/>
      <c r="I114" s="90"/>
      <c r="J114" s="90"/>
      <c r="K114" s="90"/>
      <c r="L114" s="90"/>
      <c r="M114" s="90"/>
      <c r="N114" s="90"/>
      <c r="O114" s="90"/>
      <c r="P114" s="90"/>
      <c r="W114" s="90"/>
    </row>
    <row r="115" spans="1:23">
      <c r="A115" s="108"/>
      <c r="B115" s="90"/>
      <c r="C115" s="90"/>
      <c r="D115" s="90"/>
      <c r="E115" s="90"/>
      <c r="F115" s="90"/>
      <c r="G115" s="90"/>
      <c r="H115" s="90"/>
      <c r="I115" s="90"/>
      <c r="J115" s="90"/>
      <c r="K115" s="90"/>
      <c r="L115" s="90"/>
      <c r="M115" s="90"/>
      <c r="N115" s="90"/>
      <c r="O115" s="90"/>
      <c r="P115" s="90"/>
      <c r="W115" s="90"/>
    </row>
    <row r="116" spans="1:23">
      <c r="A116" s="108"/>
      <c r="B116" s="90"/>
      <c r="C116" s="90"/>
      <c r="D116" s="90"/>
      <c r="E116" s="90"/>
      <c r="F116" s="90"/>
      <c r="G116" s="90"/>
      <c r="H116" s="90"/>
      <c r="I116" s="90"/>
      <c r="J116" s="90"/>
      <c r="K116" s="90"/>
      <c r="L116" s="90"/>
      <c r="M116" s="90"/>
      <c r="N116" s="90"/>
      <c r="O116" s="90"/>
      <c r="P116" s="90"/>
      <c r="W116" s="90"/>
    </row>
    <row r="117" spans="1:23">
      <c r="A117" s="108"/>
      <c r="B117" s="90"/>
      <c r="C117" s="90"/>
      <c r="D117" s="90"/>
      <c r="E117" s="90"/>
      <c r="F117" s="90"/>
      <c r="G117" s="90"/>
      <c r="H117" s="90"/>
      <c r="I117" s="90"/>
      <c r="J117" s="90"/>
      <c r="K117" s="90"/>
      <c r="L117" s="90"/>
      <c r="M117" s="90"/>
      <c r="N117" s="90"/>
      <c r="O117" s="90"/>
      <c r="P117" s="90"/>
      <c r="W117" s="90"/>
    </row>
    <row r="118" spans="1:23">
      <c r="A118" s="108"/>
      <c r="B118" s="90"/>
      <c r="C118" s="90"/>
      <c r="D118" s="90"/>
      <c r="E118" s="90"/>
      <c r="F118" s="90"/>
      <c r="G118" s="90"/>
      <c r="H118" s="90"/>
      <c r="I118" s="90"/>
      <c r="J118" s="90"/>
      <c r="K118" s="90"/>
      <c r="L118" s="90"/>
      <c r="M118" s="90"/>
      <c r="N118" s="90"/>
      <c r="O118" s="90"/>
      <c r="P118" s="90"/>
      <c r="W118" s="90"/>
    </row>
    <row r="119" spans="1:23">
      <c r="A119" s="108"/>
      <c r="B119" s="90"/>
      <c r="C119" s="90"/>
      <c r="D119" s="90"/>
      <c r="E119" s="90"/>
      <c r="F119" s="90"/>
      <c r="G119" s="90"/>
      <c r="H119" s="90"/>
      <c r="I119" s="90"/>
      <c r="J119" s="90"/>
      <c r="K119" s="90"/>
      <c r="L119" s="90"/>
      <c r="M119" s="90"/>
      <c r="N119" s="90"/>
      <c r="O119" s="90"/>
      <c r="P119" s="90"/>
      <c r="W119" s="90"/>
    </row>
    <row r="120" spans="1:23">
      <c r="A120" s="108"/>
      <c r="B120" s="90"/>
      <c r="C120" s="90"/>
      <c r="D120" s="90"/>
      <c r="E120" s="90"/>
      <c r="F120" s="90"/>
      <c r="G120" s="90"/>
      <c r="H120" s="90"/>
      <c r="I120" s="90"/>
      <c r="J120" s="90"/>
      <c r="K120" s="90"/>
      <c r="L120" s="90"/>
      <c r="M120" s="90"/>
      <c r="N120" s="90"/>
      <c r="O120" s="90"/>
      <c r="P120" s="90"/>
      <c r="W120" s="90"/>
    </row>
    <row r="121" spans="1:23">
      <c r="A121" s="108"/>
      <c r="B121" s="90"/>
      <c r="C121" s="90"/>
      <c r="D121" s="90"/>
      <c r="E121" s="90"/>
      <c r="F121" s="90"/>
      <c r="G121" s="90"/>
      <c r="H121" s="90"/>
      <c r="I121" s="90"/>
      <c r="J121" s="90"/>
      <c r="K121" s="90"/>
      <c r="L121" s="90"/>
      <c r="M121" s="90"/>
      <c r="N121" s="90"/>
      <c r="O121" s="90"/>
      <c r="P121" s="90"/>
      <c r="W121" s="90"/>
    </row>
    <row r="122" spans="1:23">
      <c r="A122" s="108"/>
      <c r="B122" s="90"/>
      <c r="C122" s="90"/>
      <c r="D122" s="90"/>
      <c r="E122" s="90"/>
      <c r="F122" s="90"/>
      <c r="G122" s="90"/>
      <c r="H122" s="90"/>
      <c r="I122" s="90"/>
      <c r="J122" s="90"/>
      <c r="K122" s="90"/>
      <c r="L122" s="90"/>
      <c r="M122" s="90"/>
      <c r="N122" s="90"/>
      <c r="O122" s="90"/>
      <c r="P122" s="90"/>
      <c r="W122" s="90"/>
    </row>
    <row r="123" spans="1:23">
      <c r="A123" s="108"/>
      <c r="B123" s="90"/>
      <c r="C123" s="90"/>
      <c r="D123" s="90"/>
      <c r="E123" s="90"/>
      <c r="F123" s="90"/>
      <c r="G123" s="90"/>
      <c r="H123" s="90"/>
      <c r="I123" s="90"/>
      <c r="J123" s="90"/>
      <c r="K123" s="90"/>
      <c r="L123" s="90"/>
      <c r="M123" s="90"/>
      <c r="N123" s="90"/>
      <c r="O123" s="90"/>
      <c r="P123" s="90"/>
      <c r="W123" s="90"/>
    </row>
  </sheetData>
  <autoFilter ref="A2:BY2">
    <sortState ref="A3:BY17">
      <sortCondition ref="A2"/>
    </sortState>
  </autoFilter>
  <sortState ref="A3:AW17">
    <sortCondition ref="A2"/>
  </sortState>
  <conditionalFormatting sqref="C3:AZ17">
    <cfRule type="cellIs" dxfId="3" priority="1" operator="equal">
      <formula>"nc"</formula>
    </cfRule>
  </conditionalFormatting>
  <pageMargins left="0.25" right="0.25" top="0.75" bottom="0.75" header="0.3" footer="0.3"/>
  <pageSetup paperSize="9" scale="31"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6" tint="-0.499984740745262"/>
  </sheetPr>
  <dimension ref="A1:AC18"/>
  <sheetViews>
    <sheetView zoomScale="90" zoomScaleNormal="90" workbookViewId="0">
      <pane xSplit="1" ySplit="2" topLeftCell="K3" activePane="bottomRight" state="frozen"/>
      <selection pane="topRight" activeCell="B1" sqref="B1"/>
      <selection pane="bottomLeft" activeCell="A3" sqref="A3"/>
      <selection pane="bottomRight" activeCell="Q52" sqref="Q52"/>
    </sheetView>
  </sheetViews>
  <sheetFormatPr baseColWidth="10" defaultColWidth="11.5703125" defaultRowHeight="12.75"/>
  <cols>
    <col min="1" max="1" width="22.140625" style="215" customWidth="1"/>
    <col min="2" max="3" width="11.5703125" style="87"/>
    <col min="4" max="4" width="11" style="87" customWidth="1"/>
    <col min="5" max="5" width="10" style="87" customWidth="1"/>
    <col min="6" max="6" width="16.5703125" style="97" customWidth="1"/>
    <col min="7" max="7" width="15" style="97" customWidth="1"/>
    <col min="8" max="8" width="15.85546875" style="97" customWidth="1"/>
    <col min="9" max="9" width="15.42578125" style="97" customWidth="1"/>
    <col min="10" max="10" width="18.5703125" style="97" hidden="1" customWidth="1"/>
    <col min="11" max="11" width="11.140625" style="97" customWidth="1"/>
    <col min="12" max="13" width="11.5703125" style="97" customWidth="1"/>
    <col min="14" max="14" width="13.28515625" style="97" customWidth="1"/>
    <col min="15" max="15" width="13.42578125" style="87" customWidth="1"/>
    <col min="16" max="18" width="11.5703125" style="87" customWidth="1"/>
    <col min="19" max="19" width="11.85546875" style="87" customWidth="1"/>
    <col min="20" max="24" width="11.5703125" style="87" customWidth="1"/>
    <col min="25" max="25" width="25.7109375" style="87" customWidth="1"/>
    <col min="26" max="29" width="11.5703125" style="87" customWidth="1"/>
    <col min="30" max="16384" width="11.5703125" style="87"/>
  </cols>
  <sheetData>
    <row r="1" spans="1:29">
      <c r="A1" s="215">
        <v>1</v>
      </c>
      <c r="B1" s="122">
        <v>2</v>
      </c>
      <c r="C1" s="122">
        <v>3</v>
      </c>
      <c r="D1" s="122">
        <v>4</v>
      </c>
      <c r="E1" s="122">
        <v>5</v>
      </c>
      <c r="F1" s="122">
        <v>6</v>
      </c>
      <c r="G1" s="122">
        <v>7</v>
      </c>
      <c r="H1" s="122">
        <v>8</v>
      </c>
      <c r="I1" s="122">
        <v>9</v>
      </c>
      <c r="J1" s="122">
        <v>10</v>
      </c>
      <c r="K1" s="122">
        <v>11</v>
      </c>
      <c r="L1" s="122">
        <v>12</v>
      </c>
      <c r="M1" s="122">
        <v>13</v>
      </c>
      <c r="N1" s="122">
        <v>14</v>
      </c>
      <c r="O1" s="122">
        <v>15</v>
      </c>
      <c r="P1" s="122">
        <v>16</v>
      </c>
      <c r="Q1" s="122">
        <v>17</v>
      </c>
      <c r="R1" s="122">
        <v>18</v>
      </c>
      <c r="S1" s="122">
        <v>19</v>
      </c>
      <c r="T1" s="122">
        <v>20</v>
      </c>
      <c r="U1" s="122">
        <v>21</v>
      </c>
      <c r="V1" s="122">
        <v>22</v>
      </c>
      <c r="W1" s="122">
        <v>23</v>
      </c>
      <c r="X1" s="122">
        <v>24</v>
      </c>
      <c r="Y1" s="122">
        <v>25</v>
      </c>
      <c r="Z1" s="122">
        <v>26</v>
      </c>
    </row>
    <row r="2" spans="1:29" ht="45">
      <c r="A2" s="216" t="s">
        <v>7</v>
      </c>
      <c r="B2" s="210" t="s">
        <v>181</v>
      </c>
      <c r="C2" s="210" t="s">
        <v>182</v>
      </c>
      <c r="D2" s="210" t="s">
        <v>183</v>
      </c>
      <c r="E2" s="211" t="s">
        <v>184</v>
      </c>
      <c r="F2" s="211" t="s">
        <v>34</v>
      </c>
      <c r="G2" s="210" t="s">
        <v>222</v>
      </c>
      <c r="H2" s="210" t="s">
        <v>223</v>
      </c>
      <c r="I2" s="212" t="s">
        <v>185</v>
      </c>
      <c r="J2" s="212" t="s">
        <v>186</v>
      </c>
      <c r="K2" s="212" t="s">
        <v>224</v>
      </c>
      <c r="L2" s="83" t="s">
        <v>610</v>
      </c>
      <c r="M2" s="83" t="s">
        <v>141</v>
      </c>
      <c r="N2" s="83" t="s">
        <v>142</v>
      </c>
      <c r="O2" s="83" t="s">
        <v>143</v>
      </c>
      <c r="P2" s="84" t="s">
        <v>218</v>
      </c>
      <c r="Q2" s="84" t="s">
        <v>219</v>
      </c>
      <c r="R2" s="84" t="s">
        <v>220</v>
      </c>
      <c r="S2" s="85" t="s">
        <v>75</v>
      </c>
      <c r="T2" s="85" t="s">
        <v>77</v>
      </c>
      <c r="U2" s="85" t="s">
        <v>216</v>
      </c>
      <c r="V2" s="86" t="s">
        <v>76</v>
      </c>
      <c r="W2" s="86" t="s">
        <v>78</v>
      </c>
      <c r="X2" s="86" t="s">
        <v>217</v>
      </c>
      <c r="Y2" s="83" t="s">
        <v>31</v>
      </c>
      <c r="Z2" s="210" t="s">
        <v>653</v>
      </c>
      <c r="AC2" s="87" t="s">
        <v>175</v>
      </c>
    </row>
    <row r="3" spans="1:29" ht="13.5" customHeight="1">
      <c r="A3" s="216" t="str">
        <f>+Liste_services!A2</f>
        <v>Menton</v>
      </c>
      <c r="B3" s="213"/>
      <c r="C3" s="231" t="s">
        <v>604</v>
      </c>
      <c r="D3" s="213"/>
      <c r="E3" s="213"/>
      <c r="F3" s="213" t="s">
        <v>41</v>
      </c>
      <c r="G3" s="231" t="s">
        <v>40</v>
      </c>
      <c r="H3" s="231" t="s">
        <v>41</v>
      </c>
      <c r="I3" s="214">
        <f>AVERAGE(P3:R3)</f>
        <v>1240354.3333333333</v>
      </c>
      <c r="J3" s="214"/>
      <c r="K3" s="217" t="s">
        <v>41</v>
      </c>
      <c r="L3" s="88" t="s">
        <v>41</v>
      </c>
      <c r="M3" s="88" t="s">
        <v>40</v>
      </c>
      <c r="N3" s="88" t="s">
        <v>41</v>
      </c>
      <c r="O3" s="436" t="s">
        <v>41</v>
      </c>
      <c r="P3" s="88">
        <v>1037149</v>
      </c>
      <c r="Q3" s="435">
        <v>1359142</v>
      </c>
      <c r="R3" s="435">
        <v>1324772</v>
      </c>
      <c r="S3" s="435">
        <v>8273725</v>
      </c>
      <c r="T3" s="435">
        <v>9472467</v>
      </c>
      <c r="U3" s="435">
        <v>10558872</v>
      </c>
      <c r="V3" s="435">
        <v>637321</v>
      </c>
      <c r="W3" s="435">
        <v>569982</v>
      </c>
      <c r="X3" s="435">
        <v>556976</v>
      </c>
      <c r="Y3" s="88" t="s">
        <v>626</v>
      </c>
      <c r="Z3" s="88" t="s">
        <v>657</v>
      </c>
      <c r="AC3" s="199" t="e">
        <f>+Eau_technique!#REF!*(Juridique_Eau!#REF!)+Eau_technique!#REF!*Juridique_Eau!#REF!</f>
        <v>#REF!</v>
      </c>
    </row>
    <row r="4" spans="1:29" ht="25.5">
      <c r="A4" s="216" t="str">
        <f>+Liste_services!A3</f>
        <v>Roquebrune</v>
      </c>
      <c r="B4" s="213"/>
      <c r="C4" s="231" t="s">
        <v>604</v>
      </c>
      <c r="D4" s="213"/>
      <c r="E4" s="213"/>
      <c r="F4" s="213" t="s">
        <v>41</v>
      </c>
      <c r="G4" s="231" t="s">
        <v>40</v>
      </c>
      <c r="H4" s="230" t="s">
        <v>607</v>
      </c>
      <c r="I4" s="214">
        <f t="shared" ref="I4:I18" si="0">AVERAGE(P4:R4)</f>
        <v>270470.23666666669</v>
      </c>
      <c r="J4" s="214"/>
      <c r="K4" s="217" t="s">
        <v>40</v>
      </c>
      <c r="L4" s="88" t="s">
        <v>41</v>
      </c>
      <c r="M4" s="88" t="s">
        <v>40</v>
      </c>
      <c r="N4" s="88" t="s">
        <v>607</v>
      </c>
      <c r="O4" s="436" t="s">
        <v>615</v>
      </c>
      <c r="P4" s="435">
        <v>154784.66000000003</v>
      </c>
      <c r="Q4" s="435">
        <v>154784.66000000003</v>
      </c>
      <c r="R4" s="435">
        <v>501841.39</v>
      </c>
      <c r="S4" s="435">
        <v>1982233.62</v>
      </c>
      <c r="T4" s="435">
        <v>1982233.6199999999</v>
      </c>
      <c r="U4" s="435">
        <v>2935391.58</v>
      </c>
      <c r="V4" s="435">
        <v>105158</v>
      </c>
      <c r="W4" s="435">
        <v>105158</v>
      </c>
      <c r="X4" s="435">
        <v>2477983.52</v>
      </c>
      <c r="Y4" s="436" t="s">
        <v>609</v>
      </c>
      <c r="Z4" s="88" t="s">
        <v>657</v>
      </c>
      <c r="AC4" s="199" t="e">
        <f>+Eau_technique!#REF!*(Juridique_Eau!#REF!)+Eau_technique!#REF!*Juridique_Eau!#REF!</f>
        <v>#REF!</v>
      </c>
    </row>
    <row r="5" spans="1:29" ht="38.25">
      <c r="A5" s="216" t="str">
        <f>+Liste_services!A4</f>
        <v>Beausoleil</v>
      </c>
      <c r="B5" s="213"/>
      <c r="C5" s="231" t="s">
        <v>604</v>
      </c>
      <c r="D5" s="213"/>
      <c r="E5" s="213"/>
      <c r="F5" s="213" t="s">
        <v>40</v>
      </c>
      <c r="G5" s="231" t="s">
        <v>40</v>
      </c>
      <c r="H5" s="230" t="s">
        <v>603</v>
      </c>
      <c r="I5" s="214">
        <f t="shared" si="0"/>
        <v>-109179.11333333334</v>
      </c>
      <c r="J5" s="214"/>
      <c r="K5" s="217" t="s">
        <v>40</v>
      </c>
      <c r="L5" s="88" t="s">
        <v>40</v>
      </c>
      <c r="M5" s="88" t="s">
        <v>40</v>
      </c>
      <c r="N5" s="88" t="s">
        <v>603</v>
      </c>
      <c r="O5" s="437" t="s">
        <v>41</v>
      </c>
      <c r="P5" s="435">
        <v>72459</v>
      </c>
      <c r="Q5" s="435">
        <v>78469</v>
      </c>
      <c r="R5" s="435">
        <v>-478465.34</v>
      </c>
      <c r="S5" s="435">
        <v>2749572</v>
      </c>
      <c r="T5" s="435">
        <v>2767744</v>
      </c>
      <c r="U5" s="435">
        <v>2210825.25</v>
      </c>
      <c r="V5" s="88">
        <v>0</v>
      </c>
      <c r="W5" s="88">
        <v>0</v>
      </c>
      <c r="X5" s="88">
        <v>0</v>
      </c>
      <c r="Y5" s="436" t="s">
        <v>608</v>
      </c>
      <c r="Z5" s="88" t="s">
        <v>40</v>
      </c>
      <c r="AC5" s="199" t="e">
        <f>+Eau_technique!#REF!*(Juridique_Eau!#REF!)+Eau_technique!#REF!*Juridique_Eau!#REF!</f>
        <v>#REF!</v>
      </c>
    </row>
    <row r="6" spans="1:29" ht="15">
      <c r="A6" s="216" t="str">
        <f>+Liste_services!A13</f>
        <v>Saorge</v>
      </c>
      <c r="B6" s="213"/>
      <c r="C6" s="213"/>
      <c r="D6" s="231" t="s">
        <v>604</v>
      </c>
      <c r="E6" s="213"/>
      <c r="F6" s="213" t="s">
        <v>40</v>
      </c>
      <c r="G6" s="231" t="s">
        <v>40</v>
      </c>
      <c r="H6" s="231" t="s">
        <v>40</v>
      </c>
      <c r="I6" s="214">
        <f t="shared" si="0"/>
        <v>25226.333333333332</v>
      </c>
      <c r="J6" s="214"/>
      <c r="K6" s="217" t="s">
        <v>40</v>
      </c>
      <c r="L6" s="88" t="s">
        <v>40</v>
      </c>
      <c r="M6" s="88" t="s">
        <v>40</v>
      </c>
      <c r="N6" s="88" t="s">
        <v>40</v>
      </c>
      <c r="O6" s="436" t="s">
        <v>41</v>
      </c>
      <c r="P6" s="435">
        <v>23962</v>
      </c>
      <c r="Q6" s="435">
        <v>26611</v>
      </c>
      <c r="R6" s="435">
        <v>25106</v>
      </c>
      <c r="S6" s="435">
        <v>255301</v>
      </c>
      <c r="T6" s="435">
        <v>331249</v>
      </c>
      <c r="U6" s="435">
        <v>328971</v>
      </c>
      <c r="V6" s="88">
        <v>0</v>
      </c>
      <c r="W6" s="88">
        <v>0</v>
      </c>
      <c r="X6" s="88">
        <v>0</v>
      </c>
      <c r="Y6" s="88" t="s">
        <v>626</v>
      </c>
      <c r="Z6" s="88" t="s">
        <v>658</v>
      </c>
      <c r="AC6" s="199" t="e">
        <f>+Eau_technique!#REF!*(Juridique_Eau!#REF!)+Eau_technique!#REF!*Juridique_Eau!#REF!</f>
        <v>#REF!</v>
      </c>
    </row>
    <row r="7" spans="1:29" ht="15">
      <c r="A7" s="216" t="str">
        <f>+Liste_services!A5</f>
        <v>Gorbio</v>
      </c>
      <c r="B7" s="213"/>
      <c r="C7" s="231" t="s">
        <v>604</v>
      </c>
      <c r="D7" s="213"/>
      <c r="E7" s="213"/>
      <c r="F7" s="213" t="s">
        <v>40</v>
      </c>
      <c r="G7" s="231" t="s">
        <v>41</v>
      </c>
      <c r="H7" s="231" t="s">
        <v>40</v>
      </c>
      <c r="I7" s="214">
        <f t="shared" si="0"/>
        <v>10809.333333333334</v>
      </c>
      <c r="J7" s="214"/>
      <c r="K7" s="217" t="s">
        <v>40</v>
      </c>
      <c r="L7" s="88" t="s">
        <v>40</v>
      </c>
      <c r="M7" s="88" t="s">
        <v>41</v>
      </c>
      <c r="N7" s="88" t="s">
        <v>40</v>
      </c>
      <c r="O7" s="436" t="s">
        <v>41</v>
      </c>
      <c r="P7" s="435">
        <v>40983</v>
      </c>
      <c r="Q7" s="435">
        <v>-47807</v>
      </c>
      <c r="R7" s="88">
        <v>39252</v>
      </c>
      <c r="S7" s="435">
        <v>108358</v>
      </c>
      <c r="T7" s="435">
        <v>61867</v>
      </c>
      <c r="U7" s="435">
        <v>38216</v>
      </c>
      <c r="V7" s="88">
        <v>0</v>
      </c>
      <c r="W7" s="88">
        <v>0</v>
      </c>
      <c r="X7" s="88">
        <v>0</v>
      </c>
      <c r="Y7" s="88" t="s">
        <v>626</v>
      </c>
      <c r="Z7" s="88" t="s">
        <v>657</v>
      </c>
      <c r="AC7" s="199" t="e">
        <f>+Eau_technique!M3*(Juridique_Eau!#REF!)+Eau_technique!V3*Juridique_Eau!#REF!</f>
        <v>#VALUE!</v>
      </c>
    </row>
    <row r="8" spans="1:29" ht="15">
      <c r="A8" s="216" t="str">
        <f>+Liste_services!A6</f>
        <v>Castellar</v>
      </c>
      <c r="B8" s="213"/>
      <c r="C8" s="213"/>
      <c r="D8" s="231" t="s">
        <v>604</v>
      </c>
      <c r="E8" s="213"/>
      <c r="F8" s="213" t="s">
        <v>40</v>
      </c>
      <c r="G8" s="231" t="s">
        <v>41</v>
      </c>
      <c r="H8" s="231" t="s">
        <v>40</v>
      </c>
      <c r="I8" s="214">
        <f t="shared" si="0"/>
        <v>-30783.666666666668</v>
      </c>
      <c r="J8" s="214"/>
      <c r="K8" s="217" t="s">
        <v>40</v>
      </c>
      <c r="L8" s="88" t="s">
        <v>40</v>
      </c>
      <c r="M8" s="88" t="s">
        <v>41</v>
      </c>
      <c r="N8" s="88" t="s">
        <v>40</v>
      </c>
      <c r="O8" s="436" t="s">
        <v>41</v>
      </c>
      <c r="P8" s="88">
        <v>-85056</v>
      </c>
      <c r="Q8" s="435">
        <v>-25936</v>
      </c>
      <c r="R8" s="435">
        <v>18641</v>
      </c>
      <c r="S8" s="435">
        <v>-22128</v>
      </c>
      <c r="T8" s="435">
        <v>-48065</v>
      </c>
      <c r="U8" s="435">
        <v>-28523</v>
      </c>
      <c r="V8" s="88">
        <v>0</v>
      </c>
      <c r="W8" s="88">
        <v>0</v>
      </c>
      <c r="X8" s="88">
        <v>0</v>
      </c>
      <c r="Y8" s="88" t="s">
        <v>626</v>
      </c>
      <c r="Z8" s="88" t="s">
        <v>658</v>
      </c>
      <c r="AC8" s="199" t="e">
        <f>+Eau_technique!#REF!*(Juridique_Eau!#REF!)+Eau_technique!#REF!*Juridique_Eau!#REF!</f>
        <v>#REF!</v>
      </c>
    </row>
    <row r="9" spans="1:29" ht="15">
      <c r="A9" s="216" t="str">
        <f>+Liste_services!A7</f>
        <v>Sainte Agnes</v>
      </c>
      <c r="B9" s="213"/>
      <c r="C9" s="213"/>
      <c r="D9" s="213"/>
      <c r="E9" s="231" t="s">
        <v>604</v>
      </c>
      <c r="F9" s="231" t="s">
        <v>40</v>
      </c>
      <c r="G9" s="231" t="s">
        <v>619</v>
      </c>
      <c r="H9" s="231" t="s">
        <v>619</v>
      </c>
      <c r="I9" s="214">
        <f t="shared" si="0"/>
        <v>-3333.3333333333335</v>
      </c>
      <c r="J9" s="214"/>
      <c r="K9" s="217" t="s">
        <v>40</v>
      </c>
      <c r="L9" s="88" t="s">
        <v>40</v>
      </c>
      <c r="M9" s="88" t="s">
        <v>40</v>
      </c>
      <c r="N9" s="88" t="s">
        <v>40</v>
      </c>
      <c r="O9" s="436" t="s">
        <v>616</v>
      </c>
      <c r="P9" s="88">
        <v>0</v>
      </c>
      <c r="Q9" s="435">
        <v>0</v>
      </c>
      <c r="R9" s="435">
        <v>-10000</v>
      </c>
      <c r="S9" s="88">
        <v>0</v>
      </c>
      <c r="T9" s="435">
        <v>0</v>
      </c>
      <c r="U9" s="88">
        <v>0</v>
      </c>
      <c r="V9" s="88">
        <v>0</v>
      </c>
      <c r="W9" s="435">
        <v>0</v>
      </c>
      <c r="X9" s="88">
        <v>0</v>
      </c>
      <c r="Y9" s="88" t="s">
        <v>764</v>
      </c>
      <c r="Z9" s="88" t="s">
        <v>40</v>
      </c>
      <c r="AC9" s="199" t="e">
        <f>+Eau_technique!#REF!*(Juridique_Eau!#REF!)+Eau_technique!#REF!*Juridique_Eau!#REF!</f>
        <v>#REF!</v>
      </c>
    </row>
    <row r="10" spans="1:29" ht="36">
      <c r="A10" s="216" t="str">
        <f>+Liste_services!A8</f>
        <v xml:space="preserve">La Turbie </v>
      </c>
      <c r="B10" s="213"/>
      <c r="C10" s="231" t="s">
        <v>541</v>
      </c>
      <c r="D10" s="213"/>
      <c r="E10" s="213"/>
      <c r="F10" s="213" t="s">
        <v>40</v>
      </c>
      <c r="G10" s="231" t="s">
        <v>40</v>
      </c>
      <c r="H10" s="231" t="s">
        <v>698</v>
      </c>
      <c r="I10" s="214">
        <f t="shared" si="0"/>
        <v>139170.66666666666</v>
      </c>
      <c r="J10" s="214"/>
      <c r="K10" s="217" t="s">
        <v>40</v>
      </c>
      <c r="L10" s="88" t="s">
        <v>40</v>
      </c>
      <c r="M10" s="88" t="s">
        <v>40</v>
      </c>
      <c r="N10" s="88" t="s">
        <v>40</v>
      </c>
      <c r="O10" s="436" t="s">
        <v>41</v>
      </c>
      <c r="P10" s="88">
        <v>30977</v>
      </c>
      <c r="Q10" s="435">
        <v>65693</v>
      </c>
      <c r="R10" s="435">
        <v>320842</v>
      </c>
      <c r="S10" s="435">
        <v>3134626</v>
      </c>
      <c r="T10" s="435">
        <v>2862818</v>
      </c>
      <c r="U10" s="435">
        <v>2969654</v>
      </c>
      <c r="V10" s="88">
        <v>0</v>
      </c>
      <c r="W10" s="88">
        <v>0</v>
      </c>
      <c r="X10" s="88">
        <v>0</v>
      </c>
      <c r="Y10" s="436" t="s">
        <v>766</v>
      </c>
      <c r="Z10" s="88" t="s">
        <v>659</v>
      </c>
      <c r="AC10" s="199" t="e">
        <f>+Eau_technique!#REF!*(Juridique_Eau!#REF!)+Eau_technique!#REF!*Juridique_Eau!#REF!</f>
        <v>#REF!</v>
      </c>
    </row>
    <row r="11" spans="1:29" ht="15">
      <c r="A11" s="216" t="str">
        <f>+Liste_services!A9</f>
        <v>Castillon</v>
      </c>
      <c r="B11" s="213"/>
      <c r="C11" s="213"/>
      <c r="D11" s="213"/>
      <c r="E11" s="231" t="s">
        <v>604</v>
      </c>
      <c r="F11" s="231" t="s">
        <v>40</v>
      </c>
      <c r="G11" s="231" t="s">
        <v>619</v>
      </c>
      <c r="H11" s="231" t="s">
        <v>619</v>
      </c>
      <c r="I11" s="214">
        <f t="shared" si="0"/>
        <v>-8533.3333333333339</v>
      </c>
      <c r="J11" s="214"/>
      <c r="K11" s="217" t="s">
        <v>40</v>
      </c>
      <c r="L11" s="88" t="s">
        <v>40</v>
      </c>
      <c r="M11" s="88" t="s">
        <v>40</v>
      </c>
      <c r="N11" s="88" t="s">
        <v>41</v>
      </c>
      <c r="O11" s="436" t="s">
        <v>41</v>
      </c>
      <c r="P11" s="88">
        <v>0</v>
      </c>
      <c r="Q11" s="88">
        <v>0</v>
      </c>
      <c r="R11" s="435">
        <v>-25600</v>
      </c>
      <c r="S11" s="88">
        <v>0</v>
      </c>
      <c r="T11" s="88">
        <v>0</v>
      </c>
      <c r="U11" s="435">
        <v>-68370</v>
      </c>
      <c r="V11" s="88">
        <v>0</v>
      </c>
      <c r="W11" s="88">
        <v>0</v>
      </c>
      <c r="X11" s="88">
        <v>0</v>
      </c>
      <c r="Y11" s="88" t="s">
        <v>764</v>
      </c>
      <c r="Z11" s="88" t="s">
        <v>496</v>
      </c>
      <c r="AC11" s="199" t="e">
        <f>+Eau_technique!#REF!*(Juridique_Eau!#REF!)+Eau_technique!#REF!*Juridique_Eau!#REF!</f>
        <v>#REF!</v>
      </c>
    </row>
    <row r="12" spans="1:29" ht="15">
      <c r="A12" s="216" t="str">
        <f>+Liste_services!A10</f>
        <v>Sospel</v>
      </c>
      <c r="B12" s="213"/>
      <c r="C12" s="213"/>
      <c r="D12" s="231" t="s">
        <v>604</v>
      </c>
      <c r="E12" s="213"/>
      <c r="F12" s="213" t="s">
        <v>40</v>
      </c>
      <c r="G12" s="231" t="s">
        <v>40</v>
      </c>
      <c r="H12" s="231" t="s">
        <v>41</v>
      </c>
      <c r="I12" s="214">
        <f t="shared" si="0"/>
        <v>44325.666666666664</v>
      </c>
      <c r="J12" s="214"/>
      <c r="K12" s="217" t="s">
        <v>41</v>
      </c>
      <c r="L12" s="88" t="s">
        <v>40</v>
      </c>
      <c r="M12" s="88" t="s">
        <v>40</v>
      </c>
      <c r="N12" s="88" t="s">
        <v>41</v>
      </c>
      <c r="O12" s="436" t="s">
        <v>41</v>
      </c>
      <c r="P12" s="88">
        <v>20911</v>
      </c>
      <c r="Q12" s="435">
        <v>55499</v>
      </c>
      <c r="R12" s="435">
        <v>56567</v>
      </c>
      <c r="S12" s="88">
        <v>389424</v>
      </c>
      <c r="T12" s="435">
        <v>409304</v>
      </c>
      <c r="U12" s="435">
        <v>432200</v>
      </c>
      <c r="V12" s="435">
        <v>0</v>
      </c>
      <c r="W12" s="88">
        <v>0</v>
      </c>
      <c r="X12" s="88">
        <v>0</v>
      </c>
      <c r="Y12" s="88" t="s">
        <v>626</v>
      </c>
      <c r="Z12" s="88" t="s">
        <v>658</v>
      </c>
      <c r="AC12" s="199" t="e">
        <f>+Eau_technique!#REF!*(Juridique_Eau!#REF!)+Eau_technique!#REF!*Juridique_Eau!#REF!</f>
        <v>#REF!</v>
      </c>
    </row>
    <row r="13" spans="1:29" ht="15">
      <c r="A13" s="216" t="str">
        <f>+Liste_services!A11</f>
        <v>Moulinet</v>
      </c>
      <c r="B13" s="213"/>
      <c r="C13" s="213"/>
      <c r="D13" s="231"/>
      <c r="E13" s="231" t="s">
        <v>604</v>
      </c>
      <c r="F13" s="213" t="s">
        <v>40</v>
      </c>
      <c r="G13" s="231" t="s">
        <v>619</v>
      </c>
      <c r="H13" s="231" t="s">
        <v>699</v>
      </c>
      <c r="I13" s="214">
        <f t="shared" si="0"/>
        <v>1341.3333333333333</v>
      </c>
      <c r="J13" s="214"/>
      <c r="K13" s="217" t="s">
        <v>40</v>
      </c>
      <c r="L13" s="88" t="s">
        <v>40</v>
      </c>
      <c r="M13" s="88" t="s">
        <v>40</v>
      </c>
      <c r="N13" s="88" t="s">
        <v>41</v>
      </c>
      <c r="O13" s="436" t="s">
        <v>41</v>
      </c>
      <c r="P13" s="88">
        <v>-6340</v>
      </c>
      <c r="Q13" s="435">
        <v>5182</v>
      </c>
      <c r="R13" s="435">
        <v>5182</v>
      </c>
      <c r="S13" s="435">
        <v>43085</v>
      </c>
      <c r="T13" s="435">
        <v>48267</v>
      </c>
      <c r="U13" s="435">
        <v>53448</v>
      </c>
      <c r="V13" s="88">
        <v>0</v>
      </c>
      <c r="W13" s="88">
        <v>0</v>
      </c>
      <c r="X13" s="88">
        <v>0</v>
      </c>
      <c r="Y13" s="88" t="s">
        <v>764</v>
      </c>
      <c r="Z13" s="88" t="s">
        <v>40</v>
      </c>
      <c r="AC13" s="199" t="e">
        <f>+Eau_technique!#REF!*(Juridique_Eau!#REF!)+Eau_technique!#REF!*Juridique_Eau!#REF!</f>
        <v>#REF!</v>
      </c>
    </row>
    <row r="14" spans="1:29" ht="15">
      <c r="A14" s="216" t="str">
        <f>+Liste_services!A12</f>
        <v>Breil</v>
      </c>
      <c r="B14" s="213"/>
      <c r="C14" s="213"/>
      <c r="D14" s="231" t="s">
        <v>604</v>
      </c>
      <c r="E14" s="213"/>
      <c r="F14" s="213" t="s">
        <v>41</v>
      </c>
      <c r="G14" s="231" t="s">
        <v>605</v>
      </c>
      <c r="H14" s="231" t="s">
        <v>696</v>
      </c>
      <c r="I14" s="214">
        <f t="shared" si="0"/>
        <v>37317</v>
      </c>
      <c r="J14" s="214"/>
      <c r="K14" s="217" t="s">
        <v>41</v>
      </c>
      <c r="L14" s="88" t="s">
        <v>41</v>
      </c>
      <c r="M14" s="88" t="s">
        <v>605</v>
      </c>
      <c r="N14" s="88" t="s">
        <v>41</v>
      </c>
      <c r="O14" s="436" t="s">
        <v>41</v>
      </c>
      <c r="P14" s="88">
        <v>-25921</v>
      </c>
      <c r="Q14" s="435">
        <v>200921</v>
      </c>
      <c r="R14" s="435">
        <v>-63049</v>
      </c>
      <c r="S14" s="435">
        <v>-36338</v>
      </c>
      <c r="T14" s="435">
        <v>164583</v>
      </c>
      <c r="U14" s="88">
        <v>101534</v>
      </c>
      <c r="V14" s="435">
        <v>932757</v>
      </c>
      <c r="W14" s="435">
        <v>893129</v>
      </c>
      <c r="X14" s="435">
        <v>881299</v>
      </c>
      <c r="Y14" s="88" t="s">
        <v>626</v>
      </c>
      <c r="Z14" s="88" t="s">
        <v>658</v>
      </c>
      <c r="AC14" s="199" t="e">
        <f>+Eau_technique!#REF!*(Juridique_Eau!#REF!)+Eau_technique!#REF!*Juridique_Eau!#REF!</f>
        <v>#REF!</v>
      </c>
    </row>
    <row r="15" spans="1:29" ht="36">
      <c r="A15" s="216" t="str">
        <f>+Liste_services!A14</f>
        <v>La Brigue</v>
      </c>
      <c r="B15" s="213"/>
      <c r="C15" s="213"/>
      <c r="D15" s="231" t="s">
        <v>604</v>
      </c>
      <c r="E15" s="213"/>
      <c r="F15" s="213" t="s">
        <v>40</v>
      </c>
      <c r="G15" s="231" t="s">
        <v>41</v>
      </c>
      <c r="H15" s="231" t="s">
        <v>41</v>
      </c>
      <c r="I15" s="214">
        <f t="shared" si="0"/>
        <v>36413.333333333336</v>
      </c>
      <c r="J15" s="214"/>
      <c r="K15" s="217" t="s">
        <v>40</v>
      </c>
      <c r="L15" s="88" t="s">
        <v>40</v>
      </c>
      <c r="M15" s="88" t="s">
        <v>41</v>
      </c>
      <c r="N15" s="88" t="s">
        <v>41</v>
      </c>
      <c r="O15" s="436" t="s">
        <v>611</v>
      </c>
      <c r="P15" s="88">
        <v>28401</v>
      </c>
      <c r="Q15" s="435">
        <v>66948</v>
      </c>
      <c r="R15" s="435">
        <v>13891</v>
      </c>
      <c r="S15" s="435">
        <v>142667</v>
      </c>
      <c r="T15" s="435">
        <v>199900</v>
      </c>
      <c r="U15" s="435">
        <v>210594</v>
      </c>
      <c r="V15" s="435">
        <v>18809</v>
      </c>
      <c r="W15" s="435">
        <v>18809</v>
      </c>
      <c r="X15" s="88">
        <v>0</v>
      </c>
      <c r="Y15" s="436" t="s">
        <v>612</v>
      </c>
      <c r="Z15" s="88" t="s">
        <v>658</v>
      </c>
      <c r="AC15" s="199" t="e">
        <f>+Eau_technique!#REF!*(Juridique_Eau!#REF!)+Eau_technique!#REF!*Juridique_Eau!#REF!</f>
        <v>#REF!</v>
      </c>
    </row>
    <row r="16" spans="1:29" ht="15">
      <c r="A16" s="216" t="str">
        <f>+Liste_services!A15</f>
        <v>Fontan</v>
      </c>
      <c r="B16" s="213"/>
      <c r="C16" s="213"/>
      <c r="D16" s="231" t="s">
        <v>604</v>
      </c>
      <c r="E16" s="213"/>
      <c r="F16" s="213" t="s">
        <v>40</v>
      </c>
      <c r="G16" s="231" t="s">
        <v>40</v>
      </c>
      <c r="H16" s="231" t="s">
        <v>606</v>
      </c>
      <c r="I16" s="214">
        <f t="shared" si="0"/>
        <v>6783.333333333333</v>
      </c>
      <c r="J16" s="214"/>
      <c r="K16" s="217" t="s">
        <v>40</v>
      </c>
      <c r="L16" s="88" t="s">
        <v>40</v>
      </c>
      <c r="M16" s="88" t="s">
        <v>40</v>
      </c>
      <c r="N16" s="88" t="s">
        <v>606</v>
      </c>
      <c r="O16" s="436" t="s">
        <v>41</v>
      </c>
      <c r="P16" s="88">
        <v>6169</v>
      </c>
      <c r="Q16" s="435">
        <v>7175</v>
      </c>
      <c r="R16" s="435">
        <v>7006</v>
      </c>
      <c r="S16" s="435">
        <v>38617</v>
      </c>
      <c r="T16" s="435">
        <v>45792</v>
      </c>
      <c r="U16" s="435">
        <v>47290</v>
      </c>
      <c r="V16" s="88">
        <v>0</v>
      </c>
      <c r="W16" s="88">
        <v>0</v>
      </c>
      <c r="X16" s="88">
        <v>0</v>
      </c>
      <c r="Y16" s="88" t="s">
        <v>626</v>
      </c>
      <c r="Z16" s="88" t="s">
        <v>496</v>
      </c>
      <c r="AC16" s="199" t="e">
        <f>+Eau_technique!#REF!*(Juridique_Eau!#REF!)+Eau_technique!#REF!*Juridique_Eau!#REF!</f>
        <v>#REF!</v>
      </c>
    </row>
    <row r="17" spans="1:29" ht="15">
      <c r="A17" s="216" t="str">
        <f>+Liste_services!A16</f>
        <v>Tende</v>
      </c>
      <c r="B17" s="213"/>
      <c r="C17" s="213"/>
      <c r="D17" s="231" t="s">
        <v>604</v>
      </c>
      <c r="E17" s="213"/>
      <c r="F17" s="213" t="s">
        <v>41</v>
      </c>
      <c r="G17" s="231" t="s">
        <v>40</v>
      </c>
      <c r="H17" s="231" t="s">
        <v>41</v>
      </c>
      <c r="I17" s="214">
        <f t="shared" si="0"/>
        <v>-7299</v>
      </c>
      <c r="J17" s="214"/>
      <c r="K17" s="217" t="s">
        <v>40</v>
      </c>
      <c r="L17" s="88" t="s">
        <v>41</v>
      </c>
      <c r="M17" s="88" t="s">
        <v>40</v>
      </c>
      <c r="N17" s="88" t="s">
        <v>41</v>
      </c>
      <c r="O17" s="436" t="s">
        <v>41</v>
      </c>
      <c r="P17" s="88">
        <v>-45502</v>
      </c>
      <c r="Q17" s="435">
        <v>5333</v>
      </c>
      <c r="R17" s="435">
        <v>18272</v>
      </c>
      <c r="S17" s="435">
        <v>-797984</v>
      </c>
      <c r="T17" s="435">
        <v>-268813</v>
      </c>
      <c r="U17" s="435">
        <v>2796</v>
      </c>
      <c r="V17" s="435">
        <v>445307</v>
      </c>
      <c r="W17" s="435">
        <v>427752</v>
      </c>
      <c r="X17" s="435">
        <v>409936</v>
      </c>
      <c r="Y17" s="88" t="s">
        <v>626</v>
      </c>
      <c r="Z17" s="88" t="s">
        <v>658</v>
      </c>
      <c r="AC17" s="199" t="e">
        <f>+Eau_technique!#REF!*(Juridique_Eau!#REF!)+Eau_technique!#REF!*Juridique_Eau!#REF!</f>
        <v>#REF!</v>
      </c>
    </row>
    <row r="18" spans="1:29" ht="15">
      <c r="A18" s="216" t="str">
        <f>+Liste_services!A17</f>
        <v>SIECL</v>
      </c>
      <c r="B18" s="213"/>
      <c r="C18" s="213"/>
      <c r="D18" s="231"/>
      <c r="E18" s="213"/>
      <c r="F18" s="213">
        <v>0</v>
      </c>
      <c r="G18" s="231">
        <v>0</v>
      </c>
      <c r="H18" s="231">
        <v>0</v>
      </c>
      <c r="I18" s="214">
        <f t="shared" si="0"/>
        <v>0</v>
      </c>
      <c r="J18" s="214"/>
      <c r="K18" s="217">
        <v>0</v>
      </c>
      <c r="L18" s="88">
        <v>0</v>
      </c>
      <c r="M18" s="88">
        <v>0</v>
      </c>
      <c r="N18" s="88">
        <v>0</v>
      </c>
      <c r="O18" s="88">
        <v>0</v>
      </c>
      <c r="P18" s="88">
        <v>0</v>
      </c>
      <c r="Q18" s="88">
        <v>0</v>
      </c>
      <c r="R18" s="88">
        <v>0</v>
      </c>
      <c r="S18" s="88">
        <v>0</v>
      </c>
      <c r="T18" s="88">
        <v>0</v>
      </c>
      <c r="U18" s="88">
        <v>0</v>
      </c>
      <c r="V18" s="88">
        <v>0</v>
      </c>
      <c r="W18" s="88">
        <v>0</v>
      </c>
      <c r="X18" s="88">
        <v>0</v>
      </c>
      <c r="Y18" s="88" t="s">
        <v>626</v>
      </c>
      <c r="Z18" s="88" t="s">
        <v>660</v>
      </c>
      <c r="AC18" s="199" t="e">
        <f>+Eau_technique!#REF!*(Juridique_Eau!#REF!)+Eau_technique!#REF!*Juridique_Eau!#REF!</f>
        <v>#REF!</v>
      </c>
    </row>
  </sheetData>
  <autoFilter ref="A2:AC18"/>
  <sortState ref="A3:K47">
    <sortCondition ref="A3:A47"/>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rgb="FF94B8EA"/>
    <pageSetUpPr fitToPage="1"/>
  </sheetPr>
  <dimension ref="A1:BH96"/>
  <sheetViews>
    <sheetView zoomScale="80" zoomScaleNormal="80" zoomScaleSheetLayoutView="100" workbookViewId="0">
      <pane xSplit="1" ySplit="3" topLeftCell="C4" activePane="bottomRight" state="frozen"/>
      <selection pane="topRight" activeCell="B1" sqref="B1"/>
      <selection pane="bottomLeft" activeCell="A2" sqref="A2"/>
      <selection pane="bottomRight" activeCell="AV5" sqref="AV5"/>
    </sheetView>
  </sheetViews>
  <sheetFormatPr baseColWidth="10" defaultRowHeight="14.25"/>
  <cols>
    <col min="1" max="1" width="23.140625" style="103" bestFit="1" customWidth="1"/>
    <col min="2" max="2" width="12.7109375" style="95" hidden="1" customWidth="1"/>
    <col min="3" max="5" width="12.7109375" style="95" customWidth="1"/>
    <col min="6" max="7" width="21.28515625" style="95" customWidth="1"/>
    <col min="8" max="8" width="21.28515625" style="191" customWidth="1"/>
    <col min="9" max="9" width="15.28515625" style="92" bestFit="1" customWidth="1"/>
    <col min="10" max="10" width="18.42578125" style="95" customWidth="1"/>
    <col min="11" max="11" width="15.28515625" style="90" bestFit="1" customWidth="1"/>
    <col min="12" max="12" width="15.28515625" style="90" customWidth="1"/>
    <col min="13" max="13" width="12.140625" style="95" customWidth="1"/>
    <col min="14" max="15" width="15.42578125" style="95" customWidth="1"/>
    <col min="16" max="16" width="18.85546875" style="95" bestFit="1" customWidth="1"/>
    <col min="17" max="17" width="15.42578125" style="114" bestFit="1" customWidth="1"/>
    <col min="18" max="18" width="15.42578125" style="91" hidden="1" customWidth="1"/>
    <col min="19" max="19" width="15.28515625" style="90" bestFit="1" customWidth="1"/>
    <col min="20" max="20" width="23.42578125" style="90" customWidth="1"/>
    <col min="21" max="22" width="15.28515625" style="90" customWidth="1"/>
    <col min="23" max="23" width="15.28515625" style="93" customWidth="1"/>
    <col min="24" max="25" width="19.140625" style="90" customWidth="1"/>
    <col min="26" max="26" width="15.28515625" style="90" bestFit="1" customWidth="1"/>
    <col min="27" max="28" width="15.28515625" style="90" customWidth="1"/>
    <col min="29" max="30" width="15.28515625" style="94" customWidth="1"/>
    <col min="31" max="31" width="10.42578125" style="94" customWidth="1"/>
    <col min="32" max="34" width="15.28515625" style="90" customWidth="1"/>
    <col min="35" max="35" width="16" style="90" customWidth="1"/>
    <col min="36" max="36" width="15.28515625" style="189" customWidth="1"/>
    <col min="37" max="37" width="15.28515625" style="112" customWidth="1"/>
    <col min="38" max="38" width="15.28515625" style="90" customWidth="1"/>
    <col min="39" max="39" width="14.7109375" style="189" customWidth="1"/>
    <col min="40" max="40" width="14.7109375" style="112" customWidth="1"/>
    <col min="41" max="41" width="19.85546875" style="189" customWidth="1"/>
    <col min="42" max="42" width="20.42578125" style="93" customWidth="1"/>
    <col min="43" max="43" width="20.42578125" style="116" customWidth="1"/>
    <col min="44" max="45" width="11.42578125" style="90"/>
    <col min="46" max="47" width="0" style="90" hidden="1" customWidth="1"/>
    <col min="48" max="52" width="11.42578125" style="90"/>
    <col min="53" max="53" width="23.28515625" style="90" customWidth="1"/>
    <col min="54" max="16384" width="11.42578125" style="90"/>
  </cols>
  <sheetData>
    <row r="1" spans="1:60" ht="18">
      <c r="B1" s="614" t="s">
        <v>99</v>
      </c>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131"/>
      <c r="AH1" s="131"/>
      <c r="AI1" s="105"/>
      <c r="AJ1" s="615" t="s">
        <v>100</v>
      </c>
      <c r="AK1" s="615"/>
      <c r="AL1" s="615"/>
      <c r="AM1" s="615"/>
      <c r="AN1" s="615"/>
      <c r="AO1" s="615"/>
      <c r="AP1" s="615"/>
      <c r="AQ1" s="615"/>
    </row>
    <row r="2" spans="1:60">
      <c r="A2" s="375">
        <v>1</v>
      </c>
      <c r="B2" s="375">
        <v>2</v>
      </c>
      <c r="C2" s="375">
        <v>3</v>
      </c>
      <c r="D2" s="375">
        <v>4</v>
      </c>
      <c r="E2" s="375">
        <v>5</v>
      </c>
      <c r="F2" s="375">
        <v>6</v>
      </c>
      <c r="G2" s="375">
        <v>7</v>
      </c>
      <c r="H2" s="375">
        <v>8</v>
      </c>
      <c r="I2" s="375">
        <v>9</v>
      </c>
      <c r="J2" s="375">
        <v>10</v>
      </c>
      <c r="K2" s="375">
        <v>11</v>
      </c>
      <c r="L2" s="375">
        <v>12</v>
      </c>
      <c r="M2" s="375">
        <v>13</v>
      </c>
      <c r="N2" s="375">
        <v>14</v>
      </c>
      <c r="O2" s="375">
        <v>15</v>
      </c>
      <c r="P2" s="375">
        <v>16</v>
      </c>
      <c r="Q2" s="375">
        <v>17</v>
      </c>
      <c r="R2" s="375">
        <v>18</v>
      </c>
      <c r="S2" s="375">
        <v>19</v>
      </c>
      <c r="T2" s="375">
        <v>20</v>
      </c>
      <c r="U2" s="375">
        <v>21</v>
      </c>
      <c r="V2" s="375">
        <v>22</v>
      </c>
      <c r="W2" s="375">
        <v>23</v>
      </c>
      <c r="X2" s="375">
        <v>24</v>
      </c>
      <c r="Y2" s="375">
        <v>25</v>
      </c>
      <c r="Z2" s="375">
        <v>26</v>
      </c>
      <c r="AA2" s="375">
        <v>27</v>
      </c>
      <c r="AB2" s="375">
        <v>28</v>
      </c>
      <c r="AC2" s="375">
        <v>29</v>
      </c>
      <c r="AD2" s="375">
        <v>30</v>
      </c>
      <c r="AE2" s="375">
        <v>31</v>
      </c>
      <c r="AF2" s="375">
        <v>32</v>
      </c>
      <c r="AG2" s="375">
        <v>33</v>
      </c>
      <c r="AH2" s="375">
        <v>34</v>
      </c>
      <c r="AI2" s="375">
        <v>35</v>
      </c>
      <c r="AJ2" s="375">
        <v>36</v>
      </c>
      <c r="AK2" s="375">
        <v>37</v>
      </c>
      <c r="AL2" s="375">
        <v>38</v>
      </c>
      <c r="AM2" s="375">
        <v>39</v>
      </c>
      <c r="AN2" s="375">
        <v>40</v>
      </c>
      <c r="AO2" s="375">
        <v>41</v>
      </c>
      <c r="AP2" s="375">
        <v>42</v>
      </c>
      <c r="AQ2" s="375">
        <v>43</v>
      </c>
      <c r="AR2" s="375">
        <v>44</v>
      </c>
      <c r="AS2" s="375">
        <v>45</v>
      </c>
      <c r="AT2" s="375">
        <v>46</v>
      </c>
      <c r="AU2" s="375">
        <v>47</v>
      </c>
      <c r="AV2" s="375">
        <v>48</v>
      </c>
      <c r="AW2" s="375">
        <v>49</v>
      </c>
      <c r="AX2" s="375">
        <v>50</v>
      </c>
      <c r="AY2" s="375">
        <v>51</v>
      </c>
      <c r="AZ2" s="375">
        <v>52</v>
      </c>
      <c r="BA2" s="375">
        <v>53</v>
      </c>
      <c r="BB2" s="375">
        <v>54</v>
      </c>
      <c r="BC2" s="375">
        <v>55</v>
      </c>
      <c r="BD2" s="375">
        <v>56</v>
      </c>
      <c r="BE2" s="375">
        <v>57</v>
      </c>
      <c r="BF2" s="375">
        <v>58</v>
      </c>
      <c r="BG2" s="375">
        <v>59</v>
      </c>
      <c r="BH2" s="375">
        <v>60</v>
      </c>
    </row>
    <row r="3" spans="1:60" ht="81">
      <c r="A3" s="377" t="s">
        <v>4</v>
      </c>
      <c r="B3" s="377" t="s">
        <v>55</v>
      </c>
      <c r="C3" s="377" t="s">
        <v>56</v>
      </c>
      <c r="D3" s="377" t="s">
        <v>57</v>
      </c>
      <c r="E3" s="377" t="s">
        <v>58</v>
      </c>
      <c r="F3" s="377" t="s">
        <v>235</v>
      </c>
      <c r="G3" s="377" t="s">
        <v>93</v>
      </c>
      <c r="H3" s="378" t="s">
        <v>384</v>
      </c>
      <c r="I3" s="379" t="s">
        <v>137</v>
      </c>
      <c r="J3" s="377" t="s">
        <v>88</v>
      </c>
      <c r="K3" s="380" t="s">
        <v>66</v>
      </c>
      <c r="L3" s="380" t="s">
        <v>91</v>
      </c>
      <c r="M3" s="377" t="s">
        <v>10</v>
      </c>
      <c r="N3" s="377" t="s">
        <v>89</v>
      </c>
      <c r="O3" s="377" t="s">
        <v>136</v>
      </c>
      <c r="P3" s="377" t="s">
        <v>87</v>
      </c>
      <c r="Q3" s="381" t="s">
        <v>98</v>
      </c>
      <c r="R3" s="382" t="s">
        <v>128</v>
      </c>
      <c r="S3" s="377" t="s">
        <v>2</v>
      </c>
      <c r="T3" s="377" t="s">
        <v>90</v>
      </c>
      <c r="U3" s="377" t="s">
        <v>3</v>
      </c>
      <c r="V3" s="377" t="s">
        <v>13</v>
      </c>
      <c r="W3" s="383" t="s">
        <v>59</v>
      </c>
      <c r="X3" s="377" t="s">
        <v>167</v>
      </c>
      <c r="Y3" s="377" t="s">
        <v>172</v>
      </c>
      <c r="Z3" s="377" t="s">
        <v>62</v>
      </c>
      <c r="AA3" s="377" t="s">
        <v>63</v>
      </c>
      <c r="AB3" s="377" t="s">
        <v>97</v>
      </c>
      <c r="AC3" s="384" t="s">
        <v>94</v>
      </c>
      <c r="AD3" s="384" t="s">
        <v>95</v>
      </c>
      <c r="AE3" s="384" t="s">
        <v>138</v>
      </c>
      <c r="AF3" s="377" t="s">
        <v>387</v>
      </c>
      <c r="AG3" s="377" t="s">
        <v>139</v>
      </c>
      <c r="AH3" s="377" t="s">
        <v>140</v>
      </c>
      <c r="AI3" s="377" t="s">
        <v>170</v>
      </c>
      <c r="AJ3" s="385" t="s">
        <v>92</v>
      </c>
      <c r="AK3" s="386" t="s">
        <v>38</v>
      </c>
      <c r="AL3" s="376" t="s">
        <v>39</v>
      </c>
      <c r="AM3" s="385" t="s">
        <v>60</v>
      </c>
      <c r="AN3" s="386" t="s">
        <v>96</v>
      </c>
      <c r="AO3" s="386" t="s">
        <v>61</v>
      </c>
      <c r="AP3" s="387" t="s">
        <v>64</v>
      </c>
      <c r="AQ3" s="388" t="s">
        <v>129</v>
      </c>
      <c r="AR3" s="376" t="s">
        <v>171</v>
      </c>
      <c r="AS3" s="376" t="s">
        <v>173</v>
      </c>
      <c r="AT3" s="376"/>
      <c r="AU3" s="376"/>
      <c r="AV3" s="376" t="s">
        <v>187</v>
      </c>
      <c r="AW3" s="376" t="s">
        <v>188</v>
      </c>
      <c r="AX3" s="376" t="s">
        <v>188</v>
      </c>
      <c r="AY3" s="376" t="s">
        <v>240</v>
      </c>
      <c r="AZ3" s="376" t="s">
        <v>225</v>
      </c>
      <c r="BA3" s="376" t="s">
        <v>226</v>
      </c>
      <c r="BB3" s="376" t="s">
        <v>298</v>
      </c>
      <c r="BC3" s="376" t="s">
        <v>300</v>
      </c>
      <c r="BD3" s="376" t="s">
        <v>683</v>
      </c>
      <c r="BE3" s="376" t="s">
        <v>840</v>
      </c>
      <c r="BF3" s="536" t="s">
        <v>844</v>
      </c>
      <c r="BG3" s="536" t="s">
        <v>845</v>
      </c>
      <c r="BH3" s="536" t="s">
        <v>846</v>
      </c>
    </row>
    <row r="4" spans="1:60" ht="228">
      <c r="A4" s="377" t="str">
        <f>+Liste_services!A4</f>
        <v>Beausoleil</v>
      </c>
      <c r="B4" s="413"/>
      <c r="C4" s="389">
        <v>2.8</v>
      </c>
      <c r="D4" s="389">
        <v>9602</v>
      </c>
      <c r="E4" s="400">
        <f t="shared" ref="E4:E19" si="0">IFERROR(ROUND(D4/C4,0),"")</f>
        <v>3429</v>
      </c>
      <c r="F4" s="253" t="s">
        <v>744</v>
      </c>
      <c r="G4" s="253">
        <f>320*24</f>
        <v>7680</v>
      </c>
      <c r="H4" s="401">
        <v>951000</v>
      </c>
      <c r="I4" s="401">
        <v>10299</v>
      </c>
      <c r="J4" s="401">
        <v>2970</v>
      </c>
      <c r="K4" s="392"/>
      <c r="L4" s="253" t="s">
        <v>747</v>
      </c>
      <c r="M4" s="401">
        <v>832879</v>
      </c>
      <c r="N4" s="253" t="s">
        <v>410</v>
      </c>
      <c r="O4" s="253" t="s">
        <v>411</v>
      </c>
      <c r="P4" s="253">
        <v>0</v>
      </c>
      <c r="Q4" s="253">
        <v>22</v>
      </c>
      <c r="R4" s="253"/>
      <c r="S4" s="253">
        <v>1913</v>
      </c>
      <c r="T4" s="253">
        <v>0</v>
      </c>
      <c r="U4" s="253">
        <v>2443</v>
      </c>
      <c r="V4" s="253">
        <v>2532</v>
      </c>
      <c r="W4" s="403">
        <f>M4/H4</f>
        <v>0.87579284963196635</v>
      </c>
      <c r="X4" s="253" t="s">
        <v>412</v>
      </c>
      <c r="Y4" s="402" t="s">
        <v>280</v>
      </c>
      <c r="Z4" s="253">
        <v>110</v>
      </c>
      <c r="AA4" s="253" t="s">
        <v>280</v>
      </c>
      <c r="AB4" s="253">
        <f>170+432+232+444+308</f>
        <v>1586</v>
      </c>
      <c r="AC4" s="254">
        <v>1</v>
      </c>
      <c r="AD4" s="411">
        <v>0.94740000000000002</v>
      </c>
      <c r="AE4" s="253"/>
      <c r="AF4" s="253">
        <v>2.37</v>
      </c>
      <c r="AG4" s="299">
        <v>4.5</v>
      </c>
      <c r="AH4" s="299">
        <v>12.5</v>
      </c>
      <c r="AI4" s="397">
        <f t="shared" ref="AI4:AI19" si="1">IFERROR(AG4/Q4,"-")</f>
        <v>0.20454545454545456</v>
      </c>
      <c r="AJ4" s="397">
        <f t="shared" ref="AJ4:AJ18" si="2">IFERROR(J4/(M4/365),"-")</f>
        <v>1.3015696157545091</v>
      </c>
      <c r="AK4" s="396" t="s">
        <v>745</v>
      </c>
      <c r="AL4" s="558" t="s">
        <v>745</v>
      </c>
      <c r="AM4" s="397">
        <f t="shared" ref="AM4:AM18" si="3">IFERROR((H4-(I4+M4))/(365*Q4),"-")</f>
        <v>13.427397260273972</v>
      </c>
      <c r="AN4" s="396">
        <f t="shared" ref="AN4:AN18" si="4">IFERROR(M4/H4,"-")</f>
        <v>0.87579284963196635</v>
      </c>
      <c r="AO4" s="397">
        <f t="shared" ref="AO4:AO18" si="5">IFERROR((H4-M4)/(365*Q4),"-")</f>
        <v>14.709962640099626</v>
      </c>
      <c r="AP4" s="559">
        <f t="shared" ref="AP4:AP17" si="6">IFERROR((AB4/5)/(Q4*1000),"-")</f>
        <v>1.4418181818181818E-2</v>
      </c>
      <c r="AQ4" s="398">
        <v>1.7000000000000001E-2</v>
      </c>
      <c r="AR4" s="399">
        <v>1.2999999999999999E-2</v>
      </c>
      <c r="AS4" s="331">
        <v>0.26</v>
      </c>
      <c r="AT4" s="331"/>
      <c r="AU4" s="331"/>
      <c r="AV4" s="331">
        <f t="shared" ref="AV4:AV19" si="7">M4/(365*Q4)</f>
        <v>103.72092154420922</v>
      </c>
      <c r="AW4" s="331">
        <f t="shared" ref="AW4:AW19" si="8">(65+1/5*AV4)/100</f>
        <v>0.85744184308841853</v>
      </c>
      <c r="AX4" s="331" t="str">
        <f>IF(AN4&gt;0.85,"Respecté",IF(AW4&lt;AN4,"Respecté","non respecté"))</f>
        <v>Respecté</v>
      </c>
      <c r="AY4" s="331" t="s">
        <v>746</v>
      </c>
      <c r="AZ4" s="331" t="s">
        <v>413</v>
      </c>
      <c r="BA4" s="331" t="s">
        <v>748</v>
      </c>
      <c r="BB4" s="331" t="s">
        <v>280</v>
      </c>
      <c r="BC4" s="331" t="s">
        <v>620</v>
      </c>
      <c r="BD4" s="331" t="s">
        <v>40</v>
      </c>
      <c r="BE4" s="331" t="s">
        <v>838</v>
      </c>
      <c r="BF4" s="331">
        <v>0</v>
      </c>
      <c r="BG4" s="537">
        <f>H4</f>
        <v>951000</v>
      </c>
      <c r="BH4" s="331" t="s">
        <v>45</v>
      </c>
    </row>
    <row r="5" spans="1:60" ht="199.5">
      <c r="A5" s="377" t="str">
        <f>+Liste_services!A12</f>
        <v>Breil</v>
      </c>
      <c r="B5" s="413"/>
      <c r="C5" s="389">
        <v>81.3</v>
      </c>
      <c r="D5" s="389">
        <v>2480</v>
      </c>
      <c r="E5" s="400">
        <f t="shared" si="0"/>
        <v>31</v>
      </c>
      <c r="F5" s="253" t="s">
        <v>719</v>
      </c>
      <c r="G5" s="253" t="s">
        <v>447</v>
      </c>
      <c r="H5" s="401">
        <v>460000</v>
      </c>
      <c r="I5" s="401" t="s">
        <v>280</v>
      </c>
      <c r="J5" s="401">
        <v>2324</v>
      </c>
      <c r="K5" s="392"/>
      <c r="L5" s="253" t="s">
        <v>448</v>
      </c>
      <c r="M5" s="401" t="s">
        <v>449</v>
      </c>
      <c r="N5" s="253" t="s">
        <v>450</v>
      </c>
      <c r="O5" s="253" t="s">
        <v>411</v>
      </c>
      <c r="P5" s="253" t="s">
        <v>708</v>
      </c>
      <c r="Q5" s="257">
        <v>55</v>
      </c>
      <c r="R5" s="253"/>
      <c r="S5" s="253" t="s">
        <v>280</v>
      </c>
      <c r="T5" s="253" t="s">
        <v>280</v>
      </c>
      <c r="U5" s="253">
        <v>0</v>
      </c>
      <c r="V5" s="253">
        <v>1720</v>
      </c>
      <c r="W5" s="253" t="s">
        <v>280</v>
      </c>
      <c r="X5" s="253" t="s">
        <v>40</v>
      </c>
      <c r="Y5" s="402" t="s">
        <v>40</v>
      </c>
      <c r="Z5" s="253" t="s">
        <v>280</v>
      </c>
      <c r="AA5" s="253" t="s">
        <v>451</v>
      </c>
      <c r="AB5" s="253">
        <v>110</v>
      </c>
      <c r="AC5" s="253" t="s">
        <v>452</v>
      </c>
      <c r="AD5" s="253" t="s">
        <v>280</v>
      </c>
      <c r="AE5" s="253"/>
      <c r="AF5" s="253" t="s">
        <v>280</v>
      </c>
      <c r="AG5" s="253">
        <v>3</v>
      </c>
      <c r="AH5" s="253" t="s">
        <v>280</v>
      </c>
      <c r="AI5" s="397">
        <f t="shared" si="1"/>
        <v>5.4545454545454543E-2</v>
      </c>
      <c r="AJ5" s="397" t="s">
        <v>280</v>
      </c>
      <c r="AK5" s="396" t="s">
        <v>280</v>
      </c>
      <c r="AL5" s="558" t="s">
        <v>280</v>
      </c>
      <c r="AM5" s="397" t="s">
        <v>280</v>
      </c>
      <c r="AN5" s="396" t="s">
        <v>280</v>
      </c>
      <c r="AO5" s="397" t="s">
        <v>280</v>
      </c>
      <c r="AP5" s="559">
        <f t="shared" si="6"/>
        <v>4.0000000000000002E-4</v>
      </c>
      <c r="AQ5" s="398">
        <f t="shared" ref="AQ5:AQ14" si="9">IF(R5&lt;1967,0.017,IF(AN5&lt;60%,0.02,IF(AN5&lt;80%,0.015,0.01)))</f>
        <v>1.7000000000000001E-2</v>
      </c>
      <c r="AR5" s="399">
        <v>1.2999999999999999E-2</v>
      </c>
      <c r="AS5" s="331">
        <v>0.26</v>
      </c>
      <c r="AT5" s="331"/>
      <c r="AU5" s="331"/>
      <c r="AV5" s="331" t="e">
        <f t="shared" si="7"/>
        <v>#VALUE!</v>
      </c>
      <c r="AW5" s="331" t="e">
        <f t="shared" si="8"/>
        <v>#VALUE!</v>
      </c>
      <c r="AX5" s="331" t="s">
        <v>280</v>
      </c>
      <c r="AY5" s="331" t="s">
        <v>720</v>
      </c>
      <c r="AZ5" s="331" t="s">
        <v>723</v>
      </c>
      <c r="BA5" s="331" t="s">
        <v>724</v>
      </c>
      <c r="BB5" s="345" t="s">
        <v>617</v>
      </c>
      <c r="BC5" s="331">
        <v>2010</v>
      </c>
      <c r="BD5" s="331" t="s">
        <v>40</v>
      </c>
      <c r="BE5" s="331" t="s">
        <v>838</v>
      </c>
      <c r="BF5" s="537">
        <f>H5</f>
        <v>460000</v>
      </c>
      <c r="BG5" s="331" t="s">
        <v>45</v>
      </c>
      <c r="BH5" s="331" t="s">
        <v>45</v>
      </c>
    </row>
    <row r="6" spans="1:60" ht="21" customHeight="1">
      <c r="A6" s="377" t="str">
        <f>+Liste_services!A6</f>
        <v>Castellar</v>
      </c>
      <c r="B6" s="413"/>
      <c r="C6" s="389">
        <v>12.2</v>
      </c>
      <c r="D6" s="389">
        <v>972</v>
      </c>
      <c r="E6" s="400">
        <f t="shared" si="0"/>
        <v>80</v>
      </c>
      <c r="F6" s="253" t="s">
        <v>459</v>
      </c>
      <c r="G6" s="253" t="s">
        <v>280</v>
      </c>
      <c r="H6" s="401">
        <v>15724</v>
      </c>
      <c r="I6" s="401" t="s">
        <v>280</v>
      </c>
      <c r="J6" s="401" t="s">
        <v>280</v>
      </c>
      <c r="K6" s="392" t="s">
        <v>280</v>
      </c>
      <c r="L6" s="253">
        <v>40</v>
      </c>
      <c r="M6" s="391" t="s">
        <v>280</v>
      </c>
      <c r="N6" s="253">
        <v>1</v>
      </c>
      <c r="O6" s="253" t="s">
        <v>40</v>
      </c>
      <c r="P6" s="253" t="s">
        <v>280</v>
      </c>
      <c r="Q6" s="257" t="s">
        <v>280</v>
      </c>
      <c r="R6" s="253"/>
      <c r="S6" s="253" t="s">
        <v>280</v>
      </c>
      <c r="T6" s="253" t="s">
        <v>460</v>
      </c>
      <c r="U6" s="253" t="s">
        <v>461</v>
      </c>
      <c r="V6" s="253">
        <v>300</v>
      </c>
      <c r="W6" s="253" t="s">
        <v>280</v>
      </c>
      <c r="X6" s="253" t="s">
        <v>40</v>
      </c>
      <c r="Y6" s="402" t="s">
        <v>40</v>
      </c>
      <c r="Z6" s="253" t="s">
        <v>280</v>
      </c>
      <c r="AA6" s="253" t="s">
        <v>462</v>
      </c>
      <c r="AB6" s="253" t="s">
        <v>280</v>
      </c>
      <c r="AC6" s="254">
        <v>1</v>
      </c>
      <c r="AD6" s="254">
        <v>1</v>
      </c>
      <c r="AE6" s="253"/>
      <c r="AF6" s="253" t="s">
        <v>280</v>
      </c>
      <c r="AG6" s="253" t="s">
        <v>280</v>
      </c>
      <c r="AH6" s="253" t="s">
        <v>280</v>
      </c>
      <c r="AI6" s="397" t="str">
        <f t="shared" si="1"/>
        <v>-</v>
      </c>
      <c r="AJ6" s="397" t="str">
        <f t="shared" si="2"/>
        <v>-</v>
      </c>
      <c r="AK6" s="396" t="str">
        <f t="shared" ref="AK6:AK15" si="10">IFERROR(J6/G6,"-")</f>
        <v>-</v>
      </c>
      <c r="AL6" s="558" t="str">
        <f t="shared" ref="AL6:AL17" si="11">IFERROR((P6/J6)*24,"-")</f>
        <v>-</v>
      </c>
      <c r="AM6" s="397" t="str">
        <f t="shared" si="3"/>
        <v>-</v>
      </c>
      <c r="AN6" s="396" t="str">
        <f t="shared" si="4"/>
        <v>-</v>
      </c>
      <c r="AO6" s="397" t="str">
        <f t="shared" si="5"/>
        <v>-</v>
      </c>
      <c r="AP6" s="559" t="str">
        <f t="shared" si="6"/>
        <v>-</v>
      </c>
      <c r="AQ6" s="398">
        <f t="shared" si="9"/>
        <v>1.7000000000000001E-2</v>
      </c>
      <c r="AR6" s="399">
        <v>1.2999999999999999E-2</v>
      </c>
      <c r="AS6" s="331">
        <v>0.26</v>
      </c>
      <c r="AT6" s="331"/>
      <c r="AU6" s="331"/>
      <c r="AV6" s="331" t="e">
        <f t="shared" si="7"/>
        <v>#VALUE!</v>
      </c>
      <c r="AW6" s="331" t="e">
        <f t="shared" si="8"/>
        <v>#VALUE!</v>
      </c>
      <c r="AX6" s="331" t="s">
        <v>280</v>
      </c>
      <c r="AY6" s="331" t="s">
        <v>749</v>
      </c>
      <c r="AZ6" s="331" t="s">
        <v>464</v>
      </c>
      <c r="BA6" s="331" t="s">
        <v>465</v>
      </c>
      <c r="BB6" s="331" t="s">
        <v>280</v>
      </c>
      <c r="BC6" s="331">
        <v>2006</v>
      </c>
      <c r="BD6" s="331" t="s">
        <v>41</v>
      </c>
      <c r="BE6" s="331" t="s">
        <v>839</v>
      </c>
      <c r="BF6" s="537">
        <f>H6</f>
        <v>15724</v>
      </c>
      <c r="BG6" s="331" t="s">
        <v>45</v>
      </c>
      <c r="BH6" s="331" t="s">
        <v>45</v>
      </c>
    </row>
    <row r="7" spans="1:60" ht="21" customHeight="1">
      <c r="A7" s="377" t="str">
        <f>+Liste_services!A9</f>
        <v>Castillon</v>
      </c>
      <c r="B7" s="413"/>
      <c r="C7" s="389">
        <v>7.1</v>
      </c>
      <c r="D7" s="389">
        <v>381</v>
      </c>
      <c r="E7" s="400">
        <f t="shared" si="0"/>
        <v>54</v>
      </c>
      <c r="F7" s="253" t="s">
        <v>481</v>
      </c>
      <c r="G7" s="253" t="s">
        <v>482</v>
      </c>
      <c r="H7" s="401">
        <v>35307</v>
      </c>
      <c r="I7" s="401">
        <f>700+80</f>
        <v>780</v>
      </c>
      <c r="J7" s="401" t="s">
        <v>280</v>
      </c>
      <c r="K7" s="392"/>
      <c r="L7" s="253">
        <v>15</v>
      </c>
      <c r="M7" s="401">
        <v>18725</v>
      </c>
      <c r="N7" s="253">
        <v>7</v>
      </c>
      <c r="O7" s="253">
        <v>1</v>
      </c>
      <c r="P7" s="253">
        <v>503</v>
      </c>
      <c r="Q7" s="257">
        <v>12</v>
      </c>
      <c r="R7" s="253"/>
      <c r="S7" s="253">
        <v>125</v>
      </c>
      <c r="T7" s="253">
        <v>29</v>
      </c>
      <c r="U7" s="253" t="s">
        <v>461</v>
      </c>
      <c r="V7" s="253">
        <v>264</v>
      </c>
      <c r="W7" s="402">
        <f>(M7+I7)/H7</f>
        <v>0.55244002605715581</v>
      </c>
      <c r="X7" s="253" t="s">
        <v>40</v>
      </c>
      <c r="Y7" s="402" t="s">
        <v>40</v>
      </c>
      <c r="Z7" s="253">
        <v>70</v>
      </c>
      <c r="AA7" s="253" t="s">
        <v>483</v>
      </c>
      <c r="AB7" s="253" t="s">
        <v>280</v>
      </c>
      <c r="AC7" s="254">
        <v>1</v>
      </c>
      <c r="AD7" s="254">
        <v>1</v>
      </c>
      <c r="AE7" s="253"/>
      <c r="AF7" s="253">
        <v>1</v>
      </c>
      <c r="AG7" s="253" t="s">
        <v>280</v>
      </c>
      <c r="AH7" s="253" t="s">
        <v>280</v>
      </c>
      <c r="AI7" s="397" t="str">
        <f t="shared" si="1"/>
        <v>-</v>
      </c>
      <c r="AJ7" s="397" t="str">
        <f t="shared" si="2"/>
        <v>-</v>
      </c>
      <c r="AK7" s="396" t="str">
        <f t="shared" si="10"/>
        <v>-</v>
      </c>
      <c r="AL7" s="558" t="str">
        <f t="shared" si="11"/>
        <v>-</v>
      </c>
      <c r="AM7" s="397">
        <f t="shared" si="3"/>
        <v>3.6077625570776255</v>
      </c>
      <c r="AN7" s="396">
        <f t="shared" si="4"/>
        <v>0.53034808961395752</v>
      </c>
      <c r="AO7" s="397">
        <f t="shared" si="5"/>
        <v>3.7858447488584477</v>
      </c>
      <c r="AP7" s="559" t="str">
        <f t="shared" si="6"/>
        <v>-</v>
      </c>
      <c r="AQ7" s="398">
        <f t="shared" si="9"/>
        <v>1.7000000000000001E-2</v>
      </c>
      <c r="AR7" s="399">
        <v>1.2999999999999999E-2</v>
      </c>
      <c r="AS7" s="331">
        <v>0.26</v>
      </c>
      <c r="AT7" s="331"/>
      <c r="AU7" s="331"/>
      <c r="AV7" s="331">
        <f t="shared" si="7"/>
        <v>4.2751141552511411</v>
      </c>
      <c r="AW7" s="331">
        <f t="shared" si="8"/>
        <v>0.65855022831050236</v>
      </c>
      <c r="AX7" s="331" t="str">
        <f t="shared" ref="AX7:AX14" si="12">IF(AN7&gt;0.85,"Respecté",IF(AW7&lt;AN7,"Respecté","non respecté"))</f>
        <v>non respecté</v>
      </c>
      <c r="AY7" s="90" t="s">
        <v>732</v>
      </c>
      <c r="AZ7" s="331" t="s">
        <v>484</v>
      </c>
      <c r="BA7" s="331" t="s">
        <v>485</v>
      </c>
      <c r="BB7" s="331" t="s">
        <v>280</v>
      </c>
      <c r="BC7" s="331">
        <v>2012</v>
      </c>
      <c r="BD7" s="331" t="s">
        <v>41</v>
      </c>
      <c r="BE7" s="331" t="s">
        <v>838</v>
      </c>
      <c r="BF7" s="537">
        <f>H7</f>
        <v>35307</v>
      </c>
      <c r="BG7" s="331" t="s">
        <v>45</v>
      </c>
      <c r="BH7" s="331" t="s">
        <v>45</v>
      </c>
    </row>
    <row r="8" spans="1:60" ht="21" customHeight="1">
      <c r="A8" s="377" t="str">
        <f>+Liste_services!A15</f>
        <v>Fontan</v>
      </c>
      <c r="B8" s="413"/>
      <c r="C8" s="389">
        <v>49.6</v>
      </c>
      <c r="D8" s="389">
        <v>323</v>
      </c>
      <c r="E8" s="400">
        <f t="shared" si="0"/>
        <v>7</v>
      </c>
      <c r="F8" s="253" t="s">
        <v>738</v>
      </c>
      <c r="G8" s="253" t="s">
        <v>280</v>
      </c>
      <c r="H8" s="401">
        <v>25470</v>
      </c>
      <c r="I8" s="401" t="s">
        <v>280</v>
      </c>
      <c r="J8" s="401" t="s">
        <v>280</v>
      </c>
      <c r="K8" s="392" t="s">
        <v>280</v>
      </c>
      <c r="L8" s="253" t="s">
        <v>411</v>
      </c>
      <c r="M8" s="401" t="s">
        <v>449</v>
      </c>
      <c r="N8" s="253">
        <v>5</v>
      </c>
      <c r="O8" s="253">
        <v>1</v>
      </c>
      <c r="P8" s="253" t="s">
        <v>709</v>
      </c>
      <c r="Q8" s="257">
        <v>9.3000000000000007</v>
      </c>
      <c r="R8" s="253"/>
      <c r="S8" s="253" t="s">
        <v>280</v>
      </c>
      <c r="T8" s="253" t="s">
        <v>280</v>
      </c>
      <c r="U8" s="253" t="s">
        <v>496</v>
      </c>
      <c r="V8" s="253">
        <v>441</v>
      </c>
      <c r="W8" s="253" t="s">
        <v>280</v>
      </c>
      <c r="X8" s="253" t="s">
        <v>280</v>
      </c>
      <c r="Y8" s="402" t="s">
        <v>280</v>
      </c>
      <c r="Z8" s="253" t="s">
        <v>280</v>
      </c>
      <c r="AA8" s="253" t="s">
        <v>497</v>
      </c>
      <c r="AB8" s="253" t="s">
        <v>280</v>
      </c>
      <c r="AC8" s="253" t="s">
        <v>498</v>
      </c>
      <c r="AD8" s="253" t="s">
        <v>499</v>
      </c>
      <c r="AE8" s="253"/>
      <c r="AF8" s="253" t="s">
        <v>280</v>
      </c>
      <c r="AG8" s="253" t="s">
        <v>280</v>
      </c>
      <c r="AH8" s="253" t="s">
        <v>280</v>
      </c>
      <c r="AI8" s="397" t="str">
        <f t="shared" si="1"/>
        <v>-</v>
      </c>
      <c r="AJ8" s="397" t="s">
        <v>280</v>
      </c>
      <c r="AK8" s="396" t="s">
        <v>280</v>
      </c>
      <c r="AL8" s="558" t="s">
        <v>280</v>
      </c>
      <c r="AM8" s="397" t="str">
        <f t="shared" si="3"/>
        <v>-</v>
      </c>
      <c r="AN8" s="396" t="str">
        <f t="shared" si="4"/>
        <v>-</v>
      </c>
      <c r="AO8" s="397" t="s">
        <v>280</v>
      </c>
      <c r="AP8" s="559" t="s">
        <v>280</v>
      </c>
      <c r="AQ8" s="398">
        <f t="shared" si="9"/>
        <v>1.7000000000000001E-2</v>
      </c>
      <c r="AR8" s="399">
        <v>1.2999999999999999E-2</v>
      </c>
      <c r="AS8" s="331">
        <v>0.26</v>
      </c>
      <c r="AT8" s="331"/>
      <c r="AU8" s="331"/>
      <c r="AV8" s="331" t="e">
        <f t="shared" si="7"/>
        <v>#VALUE!</v>
      </c>
      <c r="AW8" s="331" t="e">
        <f t="shared" si="8"/>
        <v>#VALUE!</v>
      </c>
      <c r="AX8" s="331" t="s">
        <v>280</v>
      </c>
      <c r="AY8" s="331" t="s">
        <v>739</v>
      </c>
      <c r="AZ8" s="331" t="s">
        <v>500</v>
      </c>
      <c r="BA8" s="331" t="s">
        <v>621</v>
      </c>
      <c r="BB8" s="331" t="s">
        <v>280</v>
      </c>
      <c r="BC8" s="331">
        <v>2013</v>
      </c>
      <c r="BD8" s="331" t="s">
        <v>40</v>
      </c>
      <c r="BE8" s="331" t="s">
        <v>838</v>
      </c>
      <c r="BF8" s="537">
        <f>H8</f>
        <v>25470</v>
      </c>
      <c r="BG8" s="331" t="s">
        <v>45</v>
      </c>
      <c r="BH8" s="331" t="s">
        <v>45</v>
      </c>
    </row>
    <row r="9" spans="1:60" ht="21" hidden="1" customHeight="1">
      <c r="A9" s="377" t="str">
        <f>+Liste_services!A5</f>
        <v>Gorbio</v>
      </c>
      <c r="B9" s="413"/>
      <c r="C9" s="389"/>
      <c r="D9" s="389"/>
      <c r="E9" s="400" t="str">
        <f t="shared" si="0"/>
        <v/>
      </c>
      <c r="F9" s="253"/>
      <c r="G9" s="253"/>
      <c r="H9" s="401"/>
      <c r="I9" s="401"/>
      <c r="J9" s="401"/>
      <c r="K9" s="392"/>
      <c r="L9" s="253"/>
      <c r="M9" s="401"/>
      <c r="N9" s="253"/>
      <c r="O9" s="253"/>
      <c r="P9" s="253"/>
      <c r="Q9" s="257"/>
      <c r="R9" s="253"/>
      <c r="S9" s="253"/>
      <c r="T9" s="253"/>
      <c r="U9" s="253"/>
      <c r="V9" s="253"/>
      <c r="W9" s="253"/>
      <c r="X9" s="253"/>
      <c r="Y9" s="402"/>
      <c r="Z9" s="253"/>
      <c r="AA9" s="253"/>
      <c r="AB9" s="253"/>
      <c r="AC9" s="253"/>
      <c r="AD9" s="253"/>
      <c r="AE9" s="253"/>
      <c r="AF9" s="253"/>
      <c r="AG9" s="253"/>
      <c r="AH9" s="253"/>
      <c r="AI9" s="397" t="str">
        <f t="shared" si="1"/>
        <v>-</v>
      </c>
      <c r="AJ9" s="397" t="str">
        <f t="shared" si="2"/>
        <v>-</v>
      </c>
      <c r="AK9" s="396" t="str">
        <f t="shared" si="10"/>
        <v>-</v>
      </c>
      <c r="AL9" s="558" t="str">
        <f t="shared" si="11"/>
        <v>-</v>
      </c>
      <c r="AM9" s="397" t="str">
        <f t="shared" si="3"/>
        <v>-</v>
      </c>
      <c r="AN9" s="396" t="str">
        <f t="shared" si="4"/>
        <v>-</v>
      </c>
      <c r="AO9" s="397" t="str">
        <f t="shared" si="5"/>
        <v>-</v>
      </c>
      <c r="AP9" s="559" t="str">
        <f t="shared" si="6"/>
        <v>-</v>
      </c>
      <c r="AQ9" s="398">
        <f t="shared" si="9"/>
        <v>1.7000000000000001E-2</v>
      </c>
      <c r="AR9" s="399">
        <v>1.2999999999999999E-2</v>
      </c>
      <c r="AS9" s="331">
        <v>0.26</v>
      </c>
      <c r="AT9" s="331"/>
      <c r="AU9" s="331"/>
      <c r="AV9" s="331" t="e">
        <f t="shared" si="7"/>
        <v>#DIV/0!</v>
      </c>
      <c r="AW9" s="331" t="e">
        <f t="shared" si="8"/>
        <v>#DIV/0!</v>
      </c>
      <c r="AX9" s="331" t="str">
        <f t="shared" si="12"/>
        <v>Respecté</v>
      </c>
      <c r="AY9" s="331"/>
      <c r="AZ9" s="331"/>
      <c r="BA9" s="331"/>
      <c r="BB9" s="331"/>
      <c r="BC9" s="331"/>
      <c r="BD9" s="331"/>
      <c r="BE9" s="331" t="s">
        <v>838</v>
      </c>
      <c r="BF9" s="331"/>
      <c r="BG9" s="331" t="s">
        <v>45</v>
      </c>
      <c r="BH9" s="331" t="s">
        <v>45</v>
      </c>
    </row>
    <row r="10" spans="1:60" ht="21" customHeight="1">
      <c r="A10" s="377" t="str">
        <f>+Liste_services!A14</f>
        <v>La Brigue</v>
      </c>
      <c r="B10" s="413"/>
      <c r="C10" s="389">
        <v>91.8</v>
      </c>
      <c r="D10" s="389">
        <v>719</v>
      </c>
      <c r="E10" s="400">
        <f t="shared" si="0"/>
        <v>8</v>
      </c>
      <c r="F10" s="253" t="s">
        <v>726</v>
      </c>
      <c r="G10" s="253" t="s">
        <v>524</v>
      </c>
      <c r="H10" s="401" t="s">
        <v>280</v>
      </c>
      <c r="I10" s="401" t="s">
        <v>280</v>
      </c>
      <c r="J10" s="401" t="s">
        <v>280</v>
      </c>
      <c r="K10" s="392"/>
      <c r="L10" s="253" t="s">
        <v>411</v>
      </c>
      <c r="M10" s="401" t="s">
        <v>449</v>
      </c>
      <c r="N10" s="253">
        <v>3</v>
      </c>
      <c r="O10" s="253">
        <v>0</v>
      </c>
      <c r="P10" s="253" t="s">
        <v>525</v>
      </c>
      <c r="Q10" s="257">
        <v>6.8</v>
      </c>
      <c r="R10" s="253"/>
      <c r="S10" s="253" t="s">
        <v>280</v>
      </c>
      <c r="T10" s="254">
        <v>0.3</v>
      </c>
      <c r="U10" s="253" t="s">
        <v>40</v>
      </c>
      <c r="V10" s="253" t="s">
        <v>280</v>
      </c>
      <c r="W10" s="253" t="s">
        <v>280</v>
      </c>
      <c r="X10" s="253" t="s">
        <v>40</v>
      </c>
      <c r="Y10" s="402" t="s">
        <v>280</v>
      </c>
      <c r="Z10" s="253" t="s">
        <v>280</v>
      </c>
      <c r="AA10" s="253" t="s">
        <v>526</v>
      </c>
      <c r="AB10" s="253" t="s">
        <v>280</v>
      </c>
      <c r="AC10" s="253" t="s">
        <v>729</v>
      </c>
      <c r="AD10" s="253" t="s">
        <v>728</v>
      </c>
      <c r="AE10" s="253"/>
      <c r="AF10" s="253" t="s">
        <v>280</v>
      </c>
      <c r="AG10" s="253">
        <v>6</v>
      </c>
      <c r="AH10" s="253" t="s">
        <v>280</v>
      </c>
      <c r="AI10" s="397">
        <f t="shared" si="1"/>
        <v>0.88235294117647056</v>
      </c>
      <c r="AJ10" s="397" t="str">
        <f t="shared" si="2"/>
        <v>-</v>
      </c>
      <c r="AK10" s="396" t="s">
        <v>280</v>
      </c>
      <c r="AL10" s="558" t="s">
        <v>280</v>
      </c>
      <c r="AM10" s="397" t="s">
        <v>280</v>
      </c>
      <c r="AN10" s="396" t="s">
        <v>280</v>
      </c>
      <c r="AO10" s="397" t="s">
        <v>280</v>
      </c>
      <c r="AP10" s="559" t="s">
        <v>280</v>
      </c>
      <c r="AQ10" s="398">
        <f t="shared" si="9"/>
        <v>1.7000000000000001E-2</v>
      </c>
      <c r="AR10" s="399">
        <v>1.2999999999999999E-2</v>
      </c>
      <c r="AS10" s="331">
        <v>0.26</v>
      </c>
      <c r="AT10" s="331"/>
      <c r="AU10" s="331"/>
      <c r="AV10" s="331" t="e">
        <f t="shared" si="7"/>
        <v>#VALUE!</v>
      </c>
      <c r="AW10" s="331" t="e">
        <f t="shared" si="8"/>
        <v>#VALUE!</v>
      </c>
      <c r="AX10" s="331" t="s">
        <v>280</v>
      </c>
      <c r="AY10" s="331" t="s">
        <v>527</v>
      </c>
      <c r="AZ10" s="331" t="s">
        <v>528</v>
      </c>
      <c r="BA10" s="331" t="s">
        <v>730</v>
      </c>
      <c r="BB10" s="331" t="s">
        <v>280</v>
      </c>
      <c r="BC10" s="331" t="s">
        <v>620</v>
      </c>
      <c r="BD10" s="331" t="s">
        <v>40</v>
      </c>
      <c r="BE10" s="331" t="s">
        <v>838</v>
      </c>
      <c r="BF10" s="537" t="str">
        <f>H10</f>
        <v>nc</v>
      </c>
      <c r="BG10" s="331" t="s">
        <v>45</v>
      </c>
      <c r="BH10" s="331" t="s">
        <v>45</v>
      </c>
    </row>
    <row r="11" spans="1:60" ht="21" hidden="1" customHeight="1">
      <c r="A11" s="377" t="str">
        <f>+Liste_services!A8</f>
        <v xml:space="preserve">La Turbie </v>
      </c>
      <c r="B11" s="413"/>
      <c r="C11" s="389"/>
      <c r="D11" s="389"/>
      <c r="E11" s="400" t="str">
        <f t="shared" si="0"/>
        <v/>
      </c>
      <c r="F11" s="253"/>
      <c r="G11" s="253"/>
      <c r="H11" s="401"/>
      <c r="I11" s="401"/>
      <c r="J11" s="401"/>
      <c r="K11" s="392"/>
      <c r="L11" s="253"/>
      <c r="M11" s="401"/>
      <c r="N11" s="253"/>
      <c r="O11" s="253"/>
      <c r="P11" s="253"/>
      <c r="Q11" s="257"/>
      <c r="R11" s="253"/>
      <c r="S11" s="253"/>
      <c r="T11" s="253"/>
      <c r="U11" s="253"/>
      <c r="V11" s="253"/>
      <c r="W11" s="253"/>
      <c r="X11" s="253"/>
      <c r="Y11" s="402"/>
      <c r="Z11" s="253"/>
      <c r="AA11" s="253"/>
      <c r="AB11" s="253"/>
      <c r="AC11" s="253"/>
      <c r="AD11" s="253"/>
      <c r="AE11" s="253"/>
      <c r="AF11" s="253"/>
      <c r="AG11" s="253"/>
      <c r="AH11" s="253"/>
      <c r="AI11" s="397" t="str">
        <f t="shared" si="1"/>
        <v>-</v>
      </c>
      <c r="AJ11" s="397" t="str">
        <f t="shared" si="2"/>
        <v>-</v>
      </c>
      <c r="AK11" s="396" t="str">
        <f t="shared" si="10"/>
        <v>-</v>
      </c>
      <c r="AL11" s="558" t="str">
        <f t="shared" si="11"/>
        <v>-</v>
      </c>
      <c r="AM11" s="397" t="str">
        <f t="shared" si="3"/>
        <v>-</v>
      </c>
      <c r="AN11" s="396" t="str">
        <f t="shared" si="4"/>
        <v>-</v>
      </c>
      <c r="AO11" s="397" t="str">
        <f t="shared" si="5"/>
        <v>-</v>
      </c>
      <c r="AP11" s="559" t="str">
        <f t="shared" si="6"/>
        <v>-</v>
      </c>
      <c r="AQ11" s="398">
        <f t="shared" si="9"/>
        <v>1.7000000000000001E-2</v>
      </c>
      <c r="AR11" s="399">
        <v>1.2999999999999999E-2</v>
      </c>
      <c r="AS11" s="331">
        <v>0.26</v>
      </c>
      <c r="AT11" s="331"/>
      <c r="AU11" s="331"/>
      <c r="AV11" s="331" t="e">
        <f t="shared" si="7"/>
        <v>#DIV/0!</v>
      </c>
      <c r="AW11" s="331" t="e">
        <f t="shared" si="8"/>
        <v>#DIV/0!</v>
      </c>
      <c r="AX11" s="331" t="str">
        <f t="shared" si="12"/>
        <v>Respecté</v>
      </c>
      <c r="AY11" s="331"/>
      <c r="AZ11" s="331"/>
      <c r="BA11" s="331"/>
      <c r="BB11" s="331"/>
      <c r="BC11" s="331"/>
      <c r="BD11" s="331"/>
      <c r="BE11" s="331" t="s">
        <v>838</v>
      </c>
      <c r="BF11" s="331"/>
      <c r="BG11" s="331" t="s">
        <v>45</v>
      </c>
      <c r="BH11" s="331" t="s">
        <v>45</v>
      </c>
    </row>
    <row r="12" spans="1:60" ht="21" customHeight="1">
      <c r="A12" s="377" t="str">
        <f>+Liste_services!A2</f>
        <v>Menton</v>
      </c>
      <c r="B12" s="413"/>
      <c r="C12" s="389">
        <v>14.1</v>
      </c>
      <c r="D12" s="389">
        <v>20572</v>
      </c>
      <c r="E12" s="389">
        <f t="shared" si="0"/>
        <v>1459</v>
      </c>
      <c r="F12" s="389" t="s">
        <v>731</v>
      </c>
      <c r="G12" s="389">
        <v>43200</v>
      </c>
      <c r="H12" s="390">
        <v>2496717</v>
      </c>
      <c r="I12" s="390">
        <v>22521</v>
      </c>
      <c r="J12" s="391">
        <f>28497*0.83</f>
        <v>23652.51</v>
      </c>
      <c r="K12" s="392"/>
      <c r="L12" s="389" t="s">
        <v>411</v>
      </c>
      <c r="M12" s="390">
        <v>2106108</v>
      </c>
      <c r="N12" s="393" t="s">
        <v>852</v>
      </c>
      <c r="O12" s="389" t="s">
        <v>385</v>
      </c>
      <c r="P12" s="389" t="s">
        <v>853</v>
      </c>
      <c r="Q12" s="394">
        <v>54.38</v>
      </c>
      <c r="R12" s="389"/>
      <c r="S12" s="389">
        <v>5857</v>
      </c>
      <c r="T12" s="389" t="s">
        <v>280</v>
      </c>
      <c r="U12" s="389">
        <v>7693</v>
      </c>
      <c r="V12" s="389">
        <v>7695</v>
      </c>
      <c r="W12" s="395">
        <v>0.83</v>
      </c>
      <c r="X12" s="389" t="s">
        <v>386</v>
      </c>
      <c r="Y12" s="396" t="s">
        <v>280</v>
      </c>
      <c r="Z12" s="389">
        <v>110</v>
      </c>
      <c r="AA12" s="395">
        <v>1</v>
      </c>
      <c r="AB12" s="389">
        <f>(863*3)</f>
        <v>2589</v>
      </c>
      <c r="AC12" s="395">
        <v>1</v>
      </c>
      <c r="AD12" s="395">
        <v>1</v>
      </c>
      <c r="AE12" s="389"/>
      <c r="AF12" s="389">
        <v>1.8</v>
      </c>
      <c r="AG12" s="389">
        <v>17</v>
      </c>
      <c r="AH12" s="389">
        <v>40</v>
      </c>
      <c r="AI12" s="397">
        <f t="shared" si="1"/>
        <v>0.31261493196027951</v>
      </c>
      <c r="AJ12" s="397">
        <f t="shared" si="2"/>
        <v>4.0991089488288344</v>
      </c>
      <c r="AK12" s="396">
        <f t="shared" si="10"/>
        <v>0.54751180555555556</v>
      </c>
      <c r="AL12" s="389" t="str">
        <f t="shared" si="11"/>
        <v>-</v>
      </c>
      <c r="AM12" s="397">
        <f t="shared" si="3"/>
        <v>18.54469058427</v>
      </c>
      <c r="AN12" s="396">
        <f t="shared" si="4"/>
        <v>0.84355095110899636</v>
      </c>
      <c r="AO12" s="397">
        <f t="shared" si="5"/>
        <v>19.679324086716004</v>
      </c>
      <c r="AP12" s="396">
        <f t="shared" si="6"/>
        <v>9.5218830452372186E-3</v>
      </c>
      <c r="AQ12" s="398">
        <f t="shared" si="9"/>
        <v>1.7000000000000001E-2</v>
      </c>
      <c r="AR12" s="399">
        <v>1.2999999999999999E-2</v>
      </c>
      <c r="AS12" s="331">
        <v>0.26</v>
      </c>
      <c r="AT12" s="331"/>
      <c r="AU12" s="331"/>
      <c r="AV12" s="331">
        <f t="shared" si="7"/>
        <v>106.10810783577766</v>
      </c>
      <c r="AW12" s="331">
        <f t="shared" si="8"/>
        <v>0.86221621567155537</v>
      </c>
      <c r="AX12" s="331" t="str">
        <f t="shared" si="12"/>
        <v>non respecté</v>
      </c>
      <c r="AY12" s="331" t="s">
        <v>732</v>
      </c>
      <c r="AZ12" s="331" t="s">
        <v>734</v>
      </c>
      <c r="BA12" s="331" t="s">
        <v>735</v>
      </c>
      <c r="BB12" s="331" t="s">
        <v>679</v>
      </c>
      <c r="BC12" s="331" t="s">
        <v>825</v>
      </c>
      <c r="BD12" s="331" t="s">
        <v>388</v>
      </c>
      <c r="BE12" s="331" t="s">
        <v>838</v>
      </c>
      <c r="BF12" s="331">
        <v>8087165</v>
      </c>
      <c r="BG12" s="537">
        <v>2512701</v>
      </c>
      <c r="BH12" s="331">
        <v>7453818</v>
      </c>
    </row>
    <row r="13" spans="1:60" ht="21" customHeight="1">
      <c r="A13" s="377" t="str">
        <f>+Liste_services!A11</f>
        <v>Moulinet</v>
      </c>
      <c r="B13" s="413"/>
      <c r="C13" s="389">
        <v>41.1</v>
      </c>
      <c r="D13" s="389">
        <v>658</v>
      </c>
      <c r="E13" s="400">
        <f t="shared" si="0"/>
        <v>16</v>
      </c>
      <c r="F13" s="253" t="s">
        <v>551</v>
      </c>
      <c r="G13" s="253" t="s">
        <v>280</v>
      </c>
      <c r="H13" s="391">
        <v>62750</v>
      </c>
      <c r="I13" s="391">
        <f>1205+50</f>
        <v>1255</v>
      </c>
      <c r="J13" s="401" t="s">
        <v>280</v>
      </c>
      <c r="K13" s="392" t="s">
        <v>280</v>
      </c>
      <c r="L13" s="253" t="s">
        <v>411</v>
      </c>
      <c r="M13" s="391">
        <v>58841</v>
      </c>
      <c r="N13" s="253">
        <v>1</v>
      </c>
      <c r="O13" s="253" t="s">
        <v>40</v>
      </c>
      <c r="P13" s="253" t="s">
        <v>280</v>
      </c>
      <c r="Q13" s="257">
        <v>11</v>
      </c>
      <c r="R13" s="253"/>
      <c r="S13" s="253" t="s">
        <v>280</v>
      </c>
      <c r="T13" s="253" t="s">
        <v>549</v>
      </c>
      <c r="U13" s="253" t="s">
        <v>280</v>
      </c>
      <c r="V13" s="253">
        <v>329</v>
      </c>
      <c r="W13" s="428">
        <f>(M13+I13)/H13</f>
        <v>0.95770517928286858</v>
      </c>
      <c r="X13" s="253" t="s">
        <v>40</v>
      </c>
      <c r="Y13" s="402" t="s">
        <v>40</v>
      </c>
      <c r="Z13" s="253" t="s">
        <v>280</v>
      </c>
      <c r="AA13" s="253" t="s">
        <v>552</v>
      </c>
      <c r="AB13" s="253" t="s">
        <v>280</v>
      </c>
      <c r="AC13" s="254">
        <v>1</v>
      </c>
      <c r="AD13" s="254">
        <v>1</v>
      </c>
      <c r="AE13" s="253"/>
      <c r="AF13" s="253" t="s">
        <v>280</v>
      </c>
      <c r="AG13" s="253">
        <v>5</v>
      </c>
      <c r="AH13" s="253" t="s">
        <v>280</v>
      </c>
      <c r="AI13" s="397">
        <f t="shared" si="1"/>
        <v>0.45454545454545453</v>
      </c>
      <c r="AJ13" s="397" t="str">
        <f t="shared" si="2"/>
        <v>-</v>
      </c>
      <c r="AK13" s="396" t="s">
        <v>280</v>
      </c>
      <c r="AL13" s="558" t="s">
        <v>280</v>
      </c>
      <c r="AM13" s="397" t="s">
        <v>280</v>
      </c>
      <c r="AN13" s="397" t="s">
        <v>280</v>
      </c>
      <c r="AO13" s="397" t="s">
        <v>280</v>
      </c>
      <c r="AP13" s="559" t="str">
        <f t="shared" si="6"/>
        <v>-</v>
      </c>
      <c r="AQ13" s="398">
        <f t="shared" si="9"/>
        <v>1.7000000000000001E-2</v>
      </c>
      <c r="AR13" s="399">
        <v>1.2999999999999999E-2</v>
      </c>
      <c r="AS13" s="331">
        <v>0.26</v>
      </c>
      <c r="AT13" s="331"/>
      <c r="AU13" s="331"/>
      <c r="AV13" s="331">
        <f t="shared" si="7"/>
        <v>14.655292652552927</v>
      </c>
      <c r="AW13" s="331">
        <f t="shared" si="8"/>
        <v>0.6793105853051058</v>
      </c>
      <c r="AX13" s="331" t="s">
        <v>280</v>
      </c>
      <c r="AY13" s="331" t="s">
        <v>715</v>
      </c>
      <c r="AZ13" s="331" t="s">
        <v>553</v>
      </c>
      <c r="BA13" s="331" t="s">
        <v>554</v>
      </c>
      <c r="BB13" s="331" t="s">
        <v>280</v>
      </c>
      <c r="BC13" s="331" t="s">
        <v>620</v>
      </c>
      <c r="BD13" s="331" t="s">
        <v>375</v>
      </c>
      <c r="BE13" s="331" t="s">
        <v>838</v>
      </c>
      <c r="BF13" s="537">
        <f>H13</f>
        <v>62750</v>
      </c>
      <c r="BG13" s="331" t="s">
        <v>45</v>
      </c>
      <c r="BH13" s="331" t="s">
        <v>45</v>
      </c>
    </row>
    <row r="14" spans="1:60" ht="21" hidden="1" customHeight="1">
      <c r="A14" s="377" t="str">
        <f>+Liste_services!A3</f>
        <v>Roquebrune</v>
      </c>
      <c r="B14" s="413"/>
      <c r="C14" s="389"/>
      <c r="D14" s="389"/>
      <c r="E14" s="400" t="str">
        <f t="shared" si="0"/>
        <v/>
      </c>
      <c r="F14" s="253"/>
      <c r="G14" s="253"/>
      <c r="H14" s="401"/>
      <c r="I14" s="401"/>
      <c r="J14" s="401"/>
      <c r="K14" s="392"/>
      <c r="L14" s="253"/>
      <c r="M14" s="401"/>
      <c r="N14" s="253"/>
      <c r="O14" s="253"/>
      <c r="P14" s="253"/>
      <c r="Q14" s="257"/>
      <c r="R14" s="253"/>
      <c r="S14" s="253"/>
      <c r="T14" s="253"/>
      <c r="U14" s="253"/>
      <c r="V14" s="253"/>
      <c r="W14" s="253"/>
      <c r="X14" s="253"/>
      <c r="Y14" s="402"/>
      <c r="Z14" s="253"/>
      <c r="AA14" s="253"/>
      <c r="AB14" s="253"/>
      <c r="AC14" s="253"/>
      <c r="AD14" s="253"/>
      <c r="AE14" s="253"/>
      <c r="AF14" s="253"/>
      <c r="AG14" s="253"/>
      <c r="AH14" s="253"/>
      <c r="AI14" s="397" t="str">
        <f t="shared" si="1"/>
        <v>-</v>
      </c>
      <c r="AJ14" s="397" t="str">
        <f t="shared" si="2"/>
        <v>-</v>
      </c>
      <c r="AK14" s="396" t="str">
        <f t="shared" si="10"/>
        <v>-</v>
      </c>
      <c r="AL14" s="558" t="str">
        <f t="shared" si="11"/>
        <v>-</v>
      </c>
      <c r="AM14" s="397" t="str">
        <f t="shared" si="3"/>
        <v>-</v>
      </c>
      <c r="AN14" s="396" t="str">
        <f t="shared" si="4"/>
        <v>-</v>
      </c>
      <c r="AO14" s="397" t="str">
        <f t="shared" si="5"/>
        <v>-</v>
      </c>
      <c r="AP14" s="559" t="str">
        <f t="shared" si="6"/>
        <v>-</v>
      </c>
      <c r="AQ14" s="398">
        <f t="shared" si="9"/>
        <v>1.7000000000000001E-2</v>
      </c>
      <c r="AR14" s="399">
        <v>1.2999999999999999E-2</v>
      </c>
      <c r="AS14" s="331">
        <v>0.26</v>
      </c>
      <c r="AT14" s="331"/>
      <c r="AU14" s="331"/>
      <c r="AV14" s="331" t="e">
        <f t="shared" si="7"/>
        <v>#DIV/0!</v>
      </c>
      <c r="AW14" s="331" t="e">
        <f t="shared" si="8"/>
        <v>#DIV/0!</v>
      </c>
      <c r="AX14" s="331" t="str">
        <f t="shared" si="12"/>
        <v>Respecté</v>
      </c>
      <c r="AY14" s="331"/>
      <c r="AZ14" s="331"/>
      <c r="BA14" s="331"/>
      <c r="BB14" s="331"/>
      <c r="BC14" s="331"/>
      <c r="BD14" s="331"/>
      <c r="BE14" s="331" t="s">
        <v>838</v>
      </c>
      <c r="BF14" s="331"/>
      <c r="BG14" s="331" t="s">
        <v>45</v>
      </c>
      <c r="BH14" s="331" t="s">
        <v>45</v>
      </c>
    </row>
    <row r="15" spans="1:60" ht="21" hidden="1" customHeight="1">
      <c r="A15" s="377" t="str">
        <f>+Liste_services!A7</f>
        <v>Sainte Agnes</v>
      </c>
      <c r="B15" s="413"/>
      <c r="C15" s="389"/>
      <c r="D15" s="389"/>
      <c r="E15" s="400" t="str">
        <f t="shared" si="0"/>
        <v/>
      </c>
      <c r="F15" s="253"/>
      <c r="G15" s="253"/>
      <c r="H15" s="401"/>
      <c r="I15" s="401"/>
      <c r="J15" s="401"/>
      <c r="K15" s="392"/>
      <c r="L15" s="253"/>
      <c r="M15" s="401"/>
      <c r="N15" s="253"/>
      <c r="O15" s="253"/>
      <c r="P15" s="253"/>
      <c r="Q15" s="253"/>
      <c r="R15" s="253"/>
      <c r="S15" s="253"/>
      <c r="T15" s="253"/>
      <c r="U15" s="253"/>
      <c r="V15" s="253"/>
      <c r="W15" s="253"/>
      <c r="X15" s="253"/>
      <c r="Y15" s="402"/>
      <c r="Z15" s="253"/>
      <c r="AA15" s="253"/>
      <c r="AB15" s="253"/>
      <c r="AC15" s="253"/>
      <c r="AD15" s="253"/>
      <c r="AE15" s="253"/>
      <c r="AF15" s="253"/>
      <c r="AG15" s="253"/>
      <c r="AH15" s="253"/>
      <c r="AI15" s="397" t="str">
        <f t="shared" si="1"/>
        <v>-</v>
      </c>
      <c r="AJ15" s="397" t="str">
        <f t="shared" si="2"/>
        <v>-</v>
      </c>
      <c r="AK15" s="396" t="str">
        <f t="shared" si="10"/>
        <v>-</v>
      </c>
      <c r="AL15" s="558" t="str">
        <f t="shared" si="11"/>
        <v>-</v>
      </c>
      <c r="AM15" s="397" t="str">
        <f t="shared" si="3"/>
        <v>-</v>
      </c>
      <c r="AN15" s="396" t="str">
        <f t="shared" si="4"/>
        <v>-</v>
      </c>
      <c r="AO15" s="397" t="str">
        <f t="shared" si="5"/>
        <v>-</v>
      </c>
      <c r="AP15" s="559" t="str">
        <f t="shared" si="6"/>
        <v>-</v>
      </c>
      <c r="AQ15" s="398">
        <v>1.7000000000000001E-2</v>
      </c>
      <c r="AR15" s="399">
        <v>1.2999999999999999E-2</v>
      </c>
      <c r="AS15" s="331">
        <v>0.26</v>
      </c>
      <c r="AT15" s="331"/>
      <c r="AU15" s="331"/>
      <c r="AV15" s="331" t="e">
        <f t="shared" si="7"/>
        <v>#DIV/0!</v>
      </c>
      <c r="AW15" s="331" t="e">
        <f t="shared" si="8"/>
        <v>#DIV/0!</v>
      </c>
      <c r="AX15" s="331" t="s">
        <v>280</v>
      </c>
      <c r="AY15" s="331"/>
      <c r="AZ15" s="331"/>
      <c r="BA15" s="331"/>
      <c r="BB15" s="331"/>
      <c r="BC15" s="331"/>
      <c r="BD15" s="331"/>
      <c r="BE15" s="331" t="s">
        <v>838</v>
      </c>
      <c r="BF15" s="331"/>
      <c r="BG15" s="331" t="s">
        <v>45</v>
      </c>
      <c r="BH15" s="331" t="s">
        <v>45</v>
      </c>
    </row>
    <row r="16" spans="1:60" ht="21" customHeight="1">
      <c r="A16" s="377" t="str">
        <f>+Liste_services!A13</f>
        <v>Saorge</v>
      </c>
      <c r="B16" s="413"/>
      <c r="C16" s="389">
        <v>96.8</v>
      </c>
      <c r="D16" s="389">
        <v>451</v>
      </c>
      <c r="E16" s="400">
        <f t="shared" si="0"/>
        <v>5</v>
      </c>
      <c r="F16" s="253" t="s">
        <v>574</v>
      </c>
      <c r="G16" s="253">
        <v>780</v>
      </c>
      <c r="H16" s="391">
        <v>66240</v>
      </c>
      <c r="I16" s="401">
        <v>0</v>
      </c>
      <c r="J16" s="401" t="s">
        <v>280</v>
      </c>
      <c r="K16" s="392"/>
      <c r="L16" s="253" t="s">
        <v>411</v>
      </c>
      <c r="M16" s="391" t="s">
        <v>847</v>
      </c>
      <c r="N16" s="253">
        <v>2</v>
      </c>
      <c r="O16" s="253" t="s">
        <v>40</v>
      </c>
      <c r="P16" s="253" t="s">
        <v>280</v>
      </c>
      <c r="Q16" s="257">
        <v>10</v>
      </c>
      <c r="R16" s="253"/>
      <c r="S16" s="253" t="s">
        <v>280</v>
      </c>
      <c r="T16" s="253" t="s">
        <v>280</v>
      </c>
      <c r="U16" s="253" t="s">
        <v>40</v>
      </c>
      <c r="V16" s="253">
        <v>550</v>
      </c>
      <c r="W16" s="253" t="s">
        <v>280</v>
      </c>
      <c r="X16" s="253" t="s">
        <v>40</v>
      </c>
      <c r="Y16" s="402" t="s">
        <v>280</v>
      </c>
      <c r="Z16" s="253">
        <v>10</v>
      </c>
      <c r="AA16" s="253" t="s">
        <v>575</v>
      </c>
      <c r="AB16" s="253" t="s">
        <v>280</v>
      </c>
      <c r="AC16" s="254">
        <v>1</v>
      </c>
      <c r="AD16" s="254">
        <v>1</v>
      </c>
      <c r="AE16" s="253"/>
      <c r="AF16" s="253" t="s">
        <v>280</v>
      </c>
      <c r="AG16" s="253" t="s">
        <v>280</v>
      </c>
      <c r="AH16" s="253" t="s">
        <v>280</v>
      </c>
      <c r="AI16" s="397" t="str">
        <f t="shared" si="1"/>
        <v>-</v>
      </c>
      <c r="AJ16" s="397" t="s">
        <v>280</v>
      </c>
      <c r="AK16" s="396" t="s">
        <v>280</v>
      </c>
      <c r="AL16" s="558" t="s">
        <v>280</v>
      </c>
      <c r="AM16" s="397" t="s">
        <v>280</v>
      </c>
      <c r="AN16" s="396" t="s">
        <v>280</v>
      </c>
      <c r="AO16" s="397" t="s">
        <v>280</v>
      </c>
      <c r="AP16" s="559" t="s">
        <v>280</v>
      </c>
      <c r="AQ16" s="398">
        <f>IF(R16&lt;1967,0.017,IF(AN16&lt;60%,0.02,IF(AN16&lt;80%,0.015,0.01)))</f>
        <v>1.7000000000000001E-2</v>
      </c>
      <c r="AR16" s="399">
        <v>1.2999999999999999E-2</v>
      </c>
      <c r="AS16" s="331">
        <v>0.26</v>
      </c>
      <c r="AT16" s="331"/>
      <c r="AU16" s="331"/>
      <c r="AV16" s="331" t="e">
        <f t="shared" si="7"/>
        <v>#VALUE!</v>
      </c>
      <c r="AW16" s="331" t="e">
        <f t="shared" si="8"/>
        <v>#VALUE!</v>
      </c>
      <c r="AX16" s="331" t="s">
        <v>280</v>
      </c>
      <c r="AY16" s="331" t="s">
        <v>576</v>
      </c>
      <c r="AZ16" s="430" t="s">
        <v>577</v>
      </c>
      <c r="BA16" s="331" t="s">
        <v>743</v>
      </c>
      <c r="BB16" s="331" t="s">
        <v>280</v>
      </c>
      <c r="BC16" s="331" t="s">
        <v>620</v>
      </c>
      <c r="BD16" s="331" t="s">
        <v>41</v>
      </c>
      <c r="BE16" s="331" t="s">
        <v>838</v>
      </c>
      <c r="BF16" s="537">
        <f>H16</f>
        <v>66240</v>
      </c>
      <c r="BG16" s="331" t="s">
        <v>45</v>
      </c>
      <c r="BH16" s="331" t="s">
        <v>45</v>
      </c>
    </row>
    <row r="17" spans="1:60" ht="21" customHeight="1">
      <c r="A17" s="377" t="str">
        <f>+Liste_services!A17</f>
        <v>SIECL</v>
      </c>
      <c r="B17" s="413"/>
      <c r="C17" s="389">
        <v>69.7</v>
      </c>
      <c r="D17" s="389">
        <v>34684</v>
      </c>
      <c r="E17" s="400">
        <f t="shared" si="0"/>
        <v>498</v>
      </c>
      <c r="F17" s="253" t="s">
        <v>595</v>
      </c>
      <c r="G17" s="253">
        <f>(0.4+0.3+0.03)*3600*24</f>
        <v>63072</v>
      </c>
      <c r="H17" s="401">
        <v>5208065</v>
      </c>
      <c r="I17" s="401">
        <v>38175</v>
      </c>
      <c r="J17" s="401">
        <v>21952</v>
      </c>
      <c r="K17" s="392"/>
      <c r="L17" s="253" t="s">
        <v>280</v>
      </c>
      <c r="M17" s="401">
        <f>3162330</f>
        <v>3162330</v>
      </c>
      <c r="N17" s="253">
        <v>52</v>
      </c>
      <c r="O17" s="253">
        <v>19</v>
      </c>
      <c r="P17" s="253">
        <v>34594</v>
      </c>
      <c r="Q17" s="253">
        <v>335</v>
      </c>
      <c r="R17" s="253"/>
      <c r="S17" s="253">
        <v>9736</v>
      </c>
      <c r="T17" s="253">
        <v>0</v>
      </c>
      <c r="U17" s="253">
        <v>11796</v>
      </c>
      <c r="V17" s="253">
        <v>11979</v>
      </c>
      <c r="W17" s="402">
        <f>(3162330+6855908)/(11796633+267340)</f>
        <v>0.83042609594699857</v>
      </c>
      <c r="X17" s="253" t="s">
        <v>41</v>
      </c>
      <c r="Y17" s="402">
        <f>7.7/335</f>
        <v>2.2985074626865672E-2</v>
      </c>
      <c r="Z17" s="253">
        <v>110</v>
      </c>
      <c r="AA17" s="253">
        <v>98</v>
      </c>
      <c r="AB17" s="253">
        <f>2715+1970+205+2269</f>
        <v>7159</v>
      </c>
      <c r="AC17" s="254">
        <v>1</v>
      </c>
      <c r="AD17" s="411">
        <v>0.97899999999999998</v>
      </c>
      <c r="AE17" s="253"/>
      <c r="AF17" s="253">
        <v>7.35</v>
      </c>
      <c r="AG17" s="253">
        <v>88</v>
      </c>
      <c r="AH17" s="253">
        <v>79</v>
      </c>
      <c r="AI17" s="397">
        <f t="shared" si="1"/>
        <v>0.2626865671641791</v>
      </c>
      <c r="AJ17" s="397">
        <f t="shared" si="2"/>
        <v>2.5337267141632913</v>
      </c>
      <c r="AK17" s="396" t="s">
        <v>280</v>
      </c>
      <c r="AL17" s="558">
        <f t="shared" si="11"/>
        <v>37.821428571428569</v>
      </c>
      <c r="AM17" s="397">
        <v>16.41</v>
      </c>
      <c r="AN17" s="396">
        <v>0.83</v>
      </c>
      <c r="AO17" s="397">
        <f t="shared" si="5"/>
        <v>16.730607237783683</v>
      </c>
      <c r="AP17" s="559">
        <f t="shared" si="6"/>
        <v>4.2740298507462689E-3</v>
      </c>
      <c r="AQ17" s="398">
        <v>1.7000000000000001E-2</v>
      </c>
      <c r="AR17" s="399">
        <v>1.2999999999999999E-2</v>
      </c>
      <c r="AS17" s="331">
        <v>0.26</v>
      </c>
      <c r="AT17" s="331"/>
      <c r="AU17" s="331"/>
      <c r="AV17" s="331">
        <f>3162330/(365*Q17)</f>
        <v>25.862441218564712</v>
      </c>
      <c r="AW17" s="331">
        <f t="shared" si="8"/>
        <v>0.70172488243712949</v>
      </c>
      <c r="AX17" s="331" t="str">
        <f>IF(AN17&gt;0.85,"Respecté",IF(AW17&lt;AN17,"Respecté","non respecté"))</f>
        <v>Respecté</v>
      </c>
      <c r="AY17" s="331" t="s">
        <v>830</v>
      </c>
      <c r="AZ17" s="331" t="s">
        <v>596</v>
      </c>
      <c r="BA17" s="331" t="s">
        <v>832</v>
      </c>
      <c r="BB17" s="331" t="s">
        <v>827</v>
      </c>
      <c r="BC17" s="331">
        <v>2000</v>
      </c>
      <c r="BD17" s="331" t="s">
        <v>41</v>
      </c>
      <c r="BE17" s="331" t="s">
        <v>838</v>
      </c>
      <c r="BF17" s="331">
        <v>267340</v>
      </c>
      <c r="BG17" s="331">
        <v>11796633</v>
      </c>
      <c r="BH17" s="331">
        <v>6855908</v>
      </c>
    </row>
    <row r="18" spans="1:60" ht="21" customHeight="1">
      <c r="A18" s="377" t="str">
        <f>+Liste_services!A10</f>
        <v>Sospel</v>
      </c>
      <c r="B18" s="413"/>
      <c r="C18" s="389">
        <v>62.4</v>
      </c>
      <c r="D18" s="389">
        <v>5000</v>
      </c>
      <c r="E18" s="400">
        <f t="shared" si="0"/>
        <v>80</v>
      </c>
      <c r="F18" s="253" t="s">
        <v>586</v>
      </c>
      <c r="G18" s="253" t="s">
        <v>280</v>
      </c>
      <c r="H18" s="401">
        <v>547976</v>
      </c>
      <c r="I18" s="401">
        <v>135000</v>
      </c>
      <c r="J18" s="401" t="s">
        <v>280</v>
      </c>
      <c r="K18" s="392"/>
      <c r="L18" s="253" t="s">
        <v>587</v>
      </c>
      <c r="M18" s="401">
        <v>204538</v>
      </c>
      <c r="N18" s="253">
        <v>9</v>
      </c>
      <c r="O18" s="253" t="s">
        <v>711</v>
      </c>
      <c r="P18" s="253" t="s">
        <v>710</v>
      </c>
      <c r="Q18" s="257">
        <v>45</v>
      </c>
      <c r="R18" s="253"/>
      <c r="S18" s="253" t="s">
        <v>280</v>
      </c>
      <c r="T18" s="253" t="s">
        <v>280</v>
      </c>
      <c r="U18" s="253" t="s">
        <v>461</v>
      </c>
      <c r="V18" s="253">
        <v>2004</v>
      </c>
      <c r="W18" s="432">
        <f>(M18+I18)/H18</f>
        <v>0.61962202724206905</v>
      </c>
      <c r="X18" s="253" t="s">
        <v>40</v>
      </c>
      <c r="Y18" s="402" t="s">
        <v>280</v>
      </c>
      <c r="Z18" s="253">
        <v>106</v>
      </c>
      <c r="AA18" s="253" t="s">
        <v>588</v>
      </c>
      <c r="AB18" s="253" t="s">
        <v>280</v>
      </c>
      <c r="AC18" s="411">
        <v>0.92300000000000004</v>
      </c>
      <c r="AD18" s="254">
        <v>1</v>
      </c>
      <c r="AE18" s="253"/>
      <c r="AF18" s="253" t="s">
        <v>280</v>
      </c>
      <c r="AG18" s="253" t="s">
        <v>280</v>
      </c>
      <c r="AH18" s="253" t="s">
        <v>280</v>
      </c>
      <c r="AI18" s="397" t="str">
        <f t="shared" si="1"/>
        <v>-</v>
      </c>
      <c r="AJ18" s="397" t="str">
        <f t="shared" si="2"/>
        <v>-</v>
      </c>
      <c r="AK18" s="396" t="s">
        <v>280</v>
      </c>
      <c r="AL18" s="558" t="s">
        <v>280</v>
      </c>
      <c r="AM18" s="397">
        <f t="shared" si="3"/>
        <v>12.690289193302892</v>
      </c>
      <c r="AN18" s="396">
        <f t="shared" si="4"/>
        <v>0.37326087273895209</v>
      </c>
      <c r="AO18" s="397">
        <f t="shared" si="5"/>
        <v>20.909467275494674</v>
      </c>
      <c r="AP18" s="559" t="s">
        <v>280</v>
      </c>
      <c r="AQ18" s="398">
        <f>IF(R18&lt;1967,0.017,IF(AN18&lt;60%,0.02,IF(AN18&lt;80%,0.015,0.01)))</f>
        <v>1.7000000000000001E-2</v>
      </c>
      <c r="AR18" s="399">
        <v>1.2999999999999999E-2</v>
      </c>
      <c r="AS18" s="331">
        <v>0.26</v>
      </c>
      <c r="AT18" s="331"/>
      <c r="AU18" s="331"/>
      <c r="AV18" s="331">
        <f t="shared" si="7"/>
        <v>12.452846270928463</v>
      </c>
      <c r="AW18" s="331">
        <f t="shared" si="8"/>
        <v>0.67490569254185684</v>
      </c>
      <c r="AX18" s="331" t="str">
        <f>IF(AN18&gt;0.85,"Respecté",IF(AW18&lt;AN18,"Respecté","non respecté"))</f>
        <v>non respecté</v>
      </c>
      <c r="AY18" s="331" t="s">
        <v>713</v>
      </c>
      <c r="AZ18" s="331" t="s">
        <v>589</v>
      </c>
      <c r="BA18" s="430" t="s">
        <v>590</v>
      </c>
      <c r="BB18" s="331" t="s">
        <v>280</v>
      </c>
      <c r="BC18" s="430" t="s">
        <v>591</v>
      </c>
      <c r="BD18" s="331" t="s">
        <v>41</v>
      </c>
      <c r="BE18" s="331" t="s">
        <v>838</v>
      </c>
      <c r="BF18" s="537">
        <f>H18</f>
        <v>547976</v>
      </c>
      <c r="BG18" s="331" t="s">
        <v>45</v>
      </c>
      <c r="BH18" s="331" t="s">
        <v>45</v>
      </c>
    </row>
    <row r="19" spans="1:60" ht="21" customHeight="1">
      <c r="A19" s="377" t="str">
        <f>+Liste_services!A16</f>
        <v>Tende</v>
      </c>
      <c r="B19" s="413"/>
      <c r="C19" s="389">
        <v>177.5</v>
      </c>
      <c r="D19" s="389">
        <v>2157</v>
      </c>
      <c r="E19" s="400">
        <f t="shared" si="0"/>
        <v>12</v>
      </c>
      <c r="F19" s="253" t="s">
        <v>315</v>
      </c>
      <c r="G19" s="253" t="s">
        <v>280</v>
      </c>
      <c r="H19" s="401" t="s">
        <v>280</v>
      </c>
      <c r="I19" s="401" t="s">
        <v>280</v>
      </c>
      <c r="J19" s="401" t="s">
        <v>280</v>
      </c>
      <c r="K19" s="299">
        <f>150*D19/1000*(1.013)^13</f>
        <v>382.7050507306314</v>
      </c>
      <c r="L19" s="253" t="s">
        <v>411</v>
      </c>
      <c r="M19" s="401" t="s">
        <v>349</v>
      </c>
      <c r="N19" s="253">
        <v>5</v>
      </c>
      <c r="O19" s="253" t="s">
        <v>281</v>
      </c>
      <c r="P19" s="253" t="s">
        <v>280</v>
      </c>
      <c r="Q19" s="253">
        <v>21.5</v>
      </c>
      <c r="R19" s="253"/>
      <c r="S19" s="253">
        <f>2138-11</f>
        <v>2127</v>
      </c>
      <c r="T19" s="253" t="s">
        <v>282</v>
      </c>
      <c r="U19" s="253">
        <v>0</v>
      </c>
      <c r="V19" s="253">
        <v>1870</v>
      </c>
      <c r="W19" s="253" t="s">
        <v>283</v>
      </c>
      <c r="X19" s="253" t="s">
        <v>284</v>
      </c>
      <c r="Y19" s="402" t="s">
        <v>280</v>
      </c>
      <c r="Z19" s="253" t="s">
        <v>280</v>
      </c>
      <c r="AA19" s="253" t="s">
        <v>285</v>
      </c>
      <c r="AB19" s="389" t="s">
        <v>280</v>
      </c>
      <c r="AC19" s="253" t="s">
        <v>280</v>
      </c>
      <c r="AD19" s="253" t="s">
        <v>280</v>
      </c>
      <c r="AE19" s="253"/>
      <c r="AF19" s="253" t="s">
        <v>280</v>
      </c>
      <c r="AG19" s="253">
        <v>12</v>
      </c>
      <c r="AH19" s="253" t="s">
        <v>280</v>
      </c>
      <c r="AI19" s="397">
        <f t="shared" si="1"/>
        <v>0.55813953488372092</v>
      </c>
      <c r="AJ19" s="397" t="s">
        <v>280</v>
      </c>
      <c r="AK19" s="396" t="s">
        <v>280</v>
      </c>
      <c r="AL19" s="558" t="s">
        <v>280</v>
      </c>
      <c r="AM19" s="397" t="s">
        <v>280</v>
      </c>
      <c r="AN19" s="396" t="s">
        <v>280</v>
      </c>
      <c r="AO19" s="397" t="s">
        <v>280</v>
      </c>
      <c r="AP19" s="559" t="s">
        <v>280</v>
      </c>
      <c r="AQ19" s="398">
        <v>1.7000000000000001E-2</v>
      </c>
      <c r="AR19" s="399">
        <v>1.2999999999999999E-2</v>
      </c>
      <c r="AS19" s="331">
        <v>0.26</v>
      </c>
      <c r="AT19" s="331"/>
      <c r="AU19" s="331"/>
      <c r="AV19" s="331" t="e">
        <f t="shared" si="7"/>
        <v>#VALUE!</v>
      </c>
      <c r="AW19" s="331" t="e">
        <f t="shared" si="8"/>
        <v>#VALUE!</v>
      </c>
      <c r="AX19" s="331" t="s">
        <v>280</v>
      </c>
      <c r="AY19" s="331" t="s">
        <v>317</v>
      </c>
      <c r="AZ19" s="331" t="s">
        <v>331</v>
      </c>
      <c r="BA19" s="331" t="s">
        <v>737</v>
      </c>
      <c r="BB19" s="331" t="s">
        <v>316</v>
      </c>
      <c r="BC19" s="331">
        <v>2009</v>
      </c>
      <c r="BD19" s="331" t="s">
        <v>43</v>
      </c>
      <c r="BE19" s="331" t="s">
        <v>838</v>
      </c>
      <c r="BF19" s="537" t="str">
        <f>H19</f>
        <v>nc</v>
      </c>
      <c r="BG19" s="331" t="s">
        <v>45</v>
      </c>
      <c r="BH19" s="331" t="s">
        <v>45</v>
      </c>
    </row>
    <row r="20" spans="1:60">
      <c r="A20" s="104"/>
      <c r="B20" s="90"/>
      <c r="C20" s="90"/>
      <c r="D20" s="90"/>
      <c r="E20" s="90"/>
      <c r="F20" s="90"/>
      <c r="G20" s="90"/>
      <c r="H20" s="190"/>
      <c r="J20" s="90"/>
      <c r="M20" s="90"/>
      <c r="N20" s="90"/>
      <c r="O20" s="90"/>
      <c r="P20" s="90"/>
      <c r="Q20" s="113"/>
      <c r="R20" s="90"/>
      <c r="W20" s="90"/>
      <c r="AC20" s="90"/>
      <c r="AD20" s="90"/>
      <c r="AE20" s="90"/>
      <c r="AJ20" s="90"/>
      <c r="AK20" s="90"/>
      <c r="AM20" s="90"/>
      <c r="AN20" s="90"/>
      <c r="AO20" s="90"/>
      <c r="AP20" s="90"/>
      <c r="AQ20" s="90"/>
    </row>
    <row r="21" spans="1:60">
      <c r="A21" s="104"/>
      <c r="B21" s="90"/>
      <c r="C21" s="90"/>
      <c r="D21" s="90"/>
      <c r="E21" s="90"/>
      <c r="F21" s="90"/>
      <c r="G21" s="90"/>
      <c r="H21" s="190"/>
      <c r="J21" s="90"/>
      <c r="M21" s="90"/>
      <c r="N21" s="90"/>
      <c r="O21" s="90"/>
      <c r="P21" s="90"/>
      <c r="Q21" s="113"/>
      <c r="R21" s="90"/>
      <c r="W21" s="90"/>
      <c r="AC21" s="90"/>
      <c r="AD21" s="90"/>
      <c r="AE21" s="90"/>
      <c r="AJ21" s="90"/>
      <c r="AK21" s="90"/>
      <c r="AM21" s="90"/>
      <c r="AN21" s="90"/>
      <c r="AO21" s="90"/>
      <c r="AP21" s="90"/>
      <c r="AQ21" s="90"/>
    </row>
    <row r="22" spans="1:60">
      <c r="A22" s="104"/>
      <c r="B22" s="90"/>
      <c r="C22" s="90"/>
      <c r="D22" s="90"/>
      <c r="E22" s="90"/>
      <c r="F22" s="90"/>
      <c r="G22" s="90"/>
      <c r="H22" s="190"/>
      <c r="J22" s="90"/>
      <c r="M22" s="90"/>
      <c r="N22" s="90"/>
      <c r="O22" s="90"/>
      <c r="P22" s="90"/>
      <c r="Q22" s="113"/>
      <c r="R22" s="90"/>
      <c r="W22" s="90"/>
      <c r="AC22" s="90"/>
      <c r="AD22" s="90"/>
      <c r="AE22" s="90"/>
      <c r="AJ22" s="90"/>
      <c r="AK22" s="90"/>
      <c r="AM22" s="90"/>
      <c r="AN22" s="90"/>
      <c r="AO22" s="90"/>
      <c r="AP22" s="90"/>
      <c r="AQ22" s="90"/>
    </row>
    <row r="23" spans="1:60">
      <c r="A23" s="104"/>
      <c r="B23" s="90"/>
      <c r="C23" s="90"/>
      <c r="D23" s="90"/>
      <c r="E23" s="90"/>
      <c r="F23" s="90"/>
      <c r="G23" s="90"/>
      <c r="H23" s="190"/>
      <c r="J23" s="90"/>
      <c r="M23" s="90"/>
      <c r="N23" s="90"/>
      <c r="O23" s="90"/>
      <c r="P23" s="90"/>
      <c r="Q23" s="113"/>
      <c r="R23" s="90"/>
      <c r="W23" s="90"/>
      <c r="AC23" s="90"/>
      <c r="AD23" s="90"/>
      <c r="AE23" s="90"/>
      <c r="AJ23" s="90"/>
      <c r="AK23" s="90"/>
      <c r="AM23" s="90"/>
      <c r="AN23" s="90"/>
      <c r="AO23" s="90"/>
      <c r="AP23" s="90"/>
      <c r="AQ23" s="90"/>
    </row>
    <row r="24" spans="1:60">
      <c r="A24" s="104"/>
      <c r="B24" s="90"/>
      <c r="C24" s="90"/>
      <c r="D24" s="90"/>
      <c r="E24" s="90"/>
      <c r="F24" s="90"/>
      <c r="G24" s="90"/>
      <c r="H24" s="190"/>
      <c r="J24" s="90"/>
      <c r="M24" s="90"/>
      <c r="N24" s="90"/>
      <c r="O24" s="90"/>
      <c r="P24" s="90"/>
      <c r="Q24" s="113"/>
      <c r="R24" s="90"/>
      <c r="W24" s="90"/>
      <c r="AC24" s="90"/>
      <c r="AD24" s="90"/>
      <c r="AE24" s="90"/>
      <c r="AJ24" s="90"/>
      <c r="AK24" s="90"/>
      <c r="AM24" s="90"/>
      <c r="AN24" s="90"/>
      <c r="AO24" s="90"/>
      <c r="AP24" s="90"/>
      <c r="AQ24" s="90"/>
    </row>
    <row r="25" spans="1:60">
      <c r="A25" s="104"/>
      <c r="B25" s="90"/>
      <c r="C25" s="90"/>
      <c r="D25" s="90"/>
      <c r="E25" s="90"/>
      <c r="F25" s="90"/>
      <c r="G25" s="90"/>
      <c r="H25" s="190"/>
      <c r="J25" s="90"/>
      <c r="M25" s="90"/>
      <c r="N25" s="90"/>
      <c r="O25" s="90"/>
      <c r="P25" s="90"/>
      <c r="Q25" s="113"/>
      <c r="R25" s="90"/>
      <c r="W25" s="90"/>
      <c r="AC25" s="90"/>
      <c r="AD25" s="90"/>
      <c r="AE25" s="90"/>
      <c r="AJ25" s="90"/>
      <c r="AK25" s="90"/>
      <c r="AM25" s="90"/>
      <c r="AN25" s="90"/>
      <c r="AO25" s="90"/>
      <c r="AP25" s="90"/>
      <c r="AQ25" s="90"/>
    </row>
    <row r="26" spans="1:60">
      <c r="A26" s="104"/>
      <c r="B26" s="90"/>
      <c r="C26" s="90"/>
      <c r="D26" s="90"/>
      <c r="E26" s="90"/>
      <c r="F26" s="90"/>
      <c r="G26" s="90"/>
      <c r="H26" s="190"/>
      <c r="J26" s="90"/>
      <c r="M26" s="90"/>
      <c r="N26" s="90"/>
      <c r="O26" s="90"/>
      <c r="P26" s="90"/>
      <c r="Q26" s="113"/>
      <c r="R26" s="90"/>
      <c r="W26" s="90"/>
      <c r="AC26" s="90"/>
      <c r="AD26" s="90"/>
      <c r="AE26" s="90"/>
      <c r="AJ26" s="90"/>
      <c r="AK26" s="90"/>
      <c r="AM26" s="90"/>
      <c r="AN26" s="90"/>
      <c r="AO26" s="90"/>
      <c r="AP26" s="90"/>
      <c r="AQ26" s="90"/>
    </row>
    <row r="27" spans="1:60">
      <c r="A27" s="104"/>
      <c r="B27" s="90"/>
      <c r="C27" s="90"/>
      <c r="D27" s="90"/>
      <c r="E27" s="90"/>
      <c r="F27" s="90"/>
      <c r="G27" s="90"/>
      <c r="H27" s="190"/>
      <c r="J27" s="90"/>
      <c r="M27" s="90"/>
      <c r="N27" s="90"/>
      <c r="O27" s="90"/>
      <c r="P27" s="90"/>
      <c r="Q27" s="113"/>
      <c r="R27" s="90"/>
      <c r="W27" s="90"/>
      <c r="AC27" s="90"/>
      <c r="AD27" s="90"/>
      <c r="AE27" s="90"/>
      <c r="AJ27" s="90"/>
      <c r="AK27" s="90"/>
      <c r="AM27" s="90"/>
      <c r="AN27" s="90"/>
      <c r="AO27" s="90"/>
      <c r="AP27" s="90"/>
      <c r="AQ27" s="90"/>
    </row>
    <row r="28" spans="1:60">
      <c r="A28" s="104"/>
      <c r="B28" s="90"/>
      <c r="C28" s="90"/>
      <c r="D28" s="90"/>
      <c r="E28" s="90"/>
      <c r="F28" s="90"/>
      <c r="G28" s="90"/>
      <c r="H28" s="190"/>
      <c r="J28" s="90"/>
      <c r="M28" s="90"/>
      <c r="N28" s="90"/>
      <c r="O28" s="90"/>
      <c r="P28" s="90"/>
      <c r="Q28" s="113"/>
      <c r="R28" s="90"/>
      <c r="W28" s="90"/>
      <c r="AC28" s="90"/>
      <c r="AD28" s="90"/>
      <c r="AE28" s="90"/>
      <c r="AJ28" s="90"/>
      <c r="AK28" s="90"/>
      <c r="AM28" s="90"/>
      <c r="AN28" s="90"/>
      <c r="AO28" s="90"/>
      <c r="AP28" s="90"/>
      <c r="AQ28" s="90"/>
    </row>
    <row r="29" spans="1:60">
      <c r="A29" s="104"/>
      <c r="B29" s="90"/>
      <c r="C29" s="90"/>
      <c r="D29" s="90"/>
      <c r="E29" s="90"/>
      <c r="F29" s="90"/>
      <c r="G29" s="90"/>
      <c r="H29" s="190"/>
      <c r="J29" s="90"/>
      <c r="M29" s="90"/>
      <c r="N29" s="90"/>
      <c r="O29" s="90"/>
      <c r="P29" s="90"/>
      <c r="Q29" s="113"/>
      <c r="R29" s="90"/>
      <c r="W29" s="90"/>
      <c r="AC29" s="90"/>
      <c r="AD29" s="90"/>
      <c r="AE29" s="90"/>
      <c r="AJ29" s="90"/>
      <c r="AK29" s="90"/>
      <c r="AM29" s="90"/>
      <c r="AN29" s="90"/>
      <c r="AO29" s="90"/>
      <c r="AP29" s="90"/>
      <c r="AQ29" s="90"/>
    </row>
    <row r="30" spans="1:60">
      <c r="A30" s="104"/>
      <c r="B30" s="90"/>
      <c r="C30" s="90"/>
      <c r="D30" s="90"/>
      <c r="E30" s="90"/>
      <c r="F30" s="90"/>
      <c r="G30" s="90"/>
      <c r="H30" s="190"/>
      <c r="J30" s="90"/>
      <c r="M30" s="90"/>
      <c r="N30" s="90"/>
      <c r="O30" s="90"/>
      <c r="P30" s="90"/>
      <c r="Q30" s="113"/>
      <c r="R30" s="90"/>
      <c r="W30" s="90"/>
      <c r="AC30" s="90"/>
      <c r="AD30" s="90"/>
      <c r="AE30" s="90"/>
      <c r="AJ30" s="90"/>
      <c r="AK30" s="90"/>
      <c r="AM30" s="90"/>
      <c r="AN30" s="90"/>
      <c r="AO30" s="90"/>
      <c r="AP30" s="90"/>
      <c r="AQ30" s="90"/>
    </row>
    <row r="31" spans="1:60">
      <c r="A31" s="104"/>
      <c r="B31" s="90"/>
      <c r="C31" s="90"/>
      <c r="D31" s="90"/>
      <c r="E31" s="90"/>
      <c r="F31" s="90"/>
      <c r="G31" s="90"/>
      <c r="H31" s="190"/>
      <c r="J31" s="90"/>
      <c r="M31" s="90"/>
      <c r="N31" s="90"/>
      <c r="O31" s="90"/>
      <c r="P31" s="90"/>
      <c r="Q31" s="113"/>
      <c r="R31" s="90"/>
      <c r="W31" s="90"/>
      <c r="AC31" s="90"/>
      <c r="AD31" s="90"/>
      <c r="AE31" s="90"/>
      <c r="AJ31" s="90"/>
      <c r="AK31" s="90"/>
      <c r="AM31" s="90"/>
      <c r="AN31" s="90"/>
      <c r="AO31" s="90"/>
      <c r="AP31" s="90"/>
      <c r="AQ31" s="90"/>
    </row>
    <row r="32" spans="1:60">
      <c r="A32" s="104"/>
      <c r="B32" s="90"/>
      <c r="C32" s="90"/>
      <c r="D32" s="90"/>
      <c r="E32" s="90"/>
      <c r="F32" s="90"/>
      <c r="G32" s="90"/>
      <c r="H32" s="190"/>
      <c r="J32" s="90"/>
      <c r="M32" s="90"/>
      <c r="N32" s="90"/>
      <c r="O32" s="90"/>
      <c r="P32" s="90"/>
      <c r="Q32" s="113"/>
      <c r="R32" s="90"/>
      <c r="W32" s="90"/>
      <c r="AC32" s="90"/>
      <c r="AD32" s="90"/>
      <c r="AE32" s="90"/>
      <c r="AJ32" s="90"/>
      <c r="AK32" s="90"/>
      <c r="AM32" s="90"/>
      <c r="AN32" s="90"/>
      <c r="AO32" s="90"/>
      <c r="AP32" s="90"/>
      <c r="AQ32" s="90"/>
    </row>
    <row r="33" spans="1:43">
      <c r="A33" s="104"/>
      <c r="B33" s="90"/>
      <c r="C33" s="90"/>
      <c r="D33" s="90"/>
      <c r="E33" s="90"/>
      <c r="F33" s="90"/>
      <c r="G33" s="90"/>
      <c r="H33" s="190"/>
      <c r="J33" s="90"/>
      <c r="M33" s="90"/>
      <c r="N33" s="90"/>
      <c r="O33" s="90"/>
      <c r="P33" s="90"/>
      <c r="Q33" s="113"/>
      <c r="R33" s="90"/>
      <c r="W33" s="90"/>
      <c r="AC33" s="90"/>
      <c r="AD33" s="90"/>
      <c r="AE33" s="90"/>
      <c r="AJ33" s="90"/>
      <c r="AK33" s="90"/>
      <c r="AM33" s="90"/>
      <c r="AN33" s="90"/>
      <c r="AO33" s="90"/>
      <c r="AP33" s="90"/>
      <c r="AQ33" s="90"/>
    </row>
    <row r="34" spans="1:43">
      <c r="A34" s="104"/>
      <c r="B34" s="90"/>
      <c r="C34" s="90"/>
      <c r="D34" s="90"/>
      <c r="E34" s="90"/>
      <c r="F34" s="90"/>
      <c r="G34" s="90"/>
      <c r="H34" s="190"/>
      <c r="J34" s="90"/>
      <c r="M34" s="90"/>
      <c r="N34" s="90"/>
      <c r="O34" s="90"/>
      <c r="P34" s="90"/>
      <c r="Q34" s="113"/>
      <c r="R34" s="90"/>
      <c r="W34" s="90"/>
      <c r="AC34" s="90"/>
      <c r="AD34" s="90"/>
      <c r="AE34" s="90"/>
      <c r="AJ34" s="90"/>
      <c r="AK34" s="90"/>
      <c r="AM34" s="90"/>
      <c r="AN34" s="90"/>
      <c r="AO34" s="90"/>
      <c r="AP34" s="90"/>
      <c r="AQ34" s="90"/>
    </row>
    <row r="35" spans="1:43">
      <c r="A35" s="104"/>
      <c r="B35" s="90"/>
      <c r="C35" s="90"/>
      <c r="D35" s="90"/>
      <c r="E35" s="90"/>
      <c r="F35" s="90"/>
      <c r="G35" s="90"/>
      <c r="H35" s="190"/>
      <c r="J35" s="90"/>
      <c r="M35" s="90"/>
      <c r="N35" s="90"/>
      <c r="O35" s="90"/>
      <c r="P35" s="90"/>
      <c r="Q35" s="113"/>
      <c r="R35" s="90"/>
      <c r="W35" s="90"/>
      <c r="AC35" s="90"/>
      <c r="AD35" s="90"/>
      <c r="AE35" s="90"/>
      <c r="AJ35" s="90"/>
      <c r="AK35" s="90"/>
      <c r="AM35" s="90"/>
      <c r="AN35" s="90"/>
      <c r="AO35" s="90"/>
      <c r="AP35" s="90"/>
      <c r="AQ35" s="90"/>
    </row>
    <row r="36" spans="1:43">
      <c r="A36" s="104"/>
      <c r="B36" s="90"/>
      <c r="C36" s="90"/>
      <c r="D36" s="90"/>
      <c r="E36" s="90"/>
      <c r="F36" s="90"/>
      <c r="G36" s="90"/>
      <c r="H36" s="190"/>
      <c r="J36" s="90"/>
      <c r="M36" s="90"/>
      <c r="N36" s="90"/>
      <c r="O36" s="90"/>
      <c r="P36" s="90"/>
      <c r="Q36" s="113"/>
      <c r="R36" s="90"/>
      <c r="W36" s="90"/>
      <c r="AC36" s="90"/>
      <c r="AD36" s="90"/>
      <c r="AE36" s="90"/>
      <c r="AJ36" s="90"/>
      <c r="AK36" s="90"/>
      <c r="AM36" s="90"/>
      <c r="AN36" s="90"/>
      <c r="AO36" s="90"/>
      <c r="AP36" s="90"/>
      <c r="AQ36" s="90"/>
    </row>
    <row r="37" spans="1:43">
      <c r="A37" s="104"/>
      <c r="B37" s="90"/>
      <c r="C37" s="90"/>
      <c r="D37" s="90"/>
      <c r="E37" s="90"/>
      <c r="F37" s="90"/>
      <c r="G37" s="90"/>
      <c r="H37" s="190"/>
      <c r="J37" s="90"/>
      <c r="M37" s="90"/>
      <c r="N37" s="90"/>
      <c r="O37" s="90"/>
      <c r="P37" s="90"/>
      <c r="Q37" s="113"/>
      <c r="R37" s="90"/>
      <c r="W37" s="90"/>
      <c r="AC37" s="90"/>
      <c r="AD37" s="90"/>
      <c r="AE37" s="90"/>
      <c r="AJ37" s="90"/>
      <c r="AK37" s="90"/>
      <c r="AM37" s="90"/>
      <c r="AN37" s="90"/>
      <c r="AO37" s="90"/>
      <c r="AP37" s="90"/>
      <c r="AQ37" s="90"/>
    </row>
    <row r="38" spans="1:43">
      <c r="A38" s="104"/>
      <c r="B38" s="90"/>
      <c r="C38" s="90"/>
      <c r="D38" s="90"/>
      <c r="E38" s="90"/>
      <c r="F38" s="90"/>
      <c r="G38" s="90"/>
      <c r="H38" s="190"/>
      <c r="J38" s="90"/>
      <c r="M38" s="90"/>
      <c r="N38" s="90"/>
      <c r="O38" s="90"/>
      <c r="P38" s="90"/>
      <c r="Q38" s="113"/>
      <c r="R38" s="90"/>
      <c r="W38" s="90"/>
      <c r="AC38" s="90"/>
      <c r="AD38" s="90"/>
      <c r="AE38" s="90"/>
      <c r="AJ38" s="90"/>
      <c r="AK38" s="90"/>
      <c r="AM38" s="90"/>
      <c r="AN38" s="90"/>
      <c r="AO38" s="90"/>
      <c r="AP38" s="90"/>
      <c r="AQ38" s="90"/>
    </row>
    <row r="39" spans="1:43">
      <c r="A39" s="104"/>
      <c r="B39" s="90"/>
      <c r="C39" s="90"/>
      <c r="D39" s="90"/>
      <c r="E39" s="90"/>
      <c r="F39" s="90"/>
      <c r="G39" s="90"/>
      <c r="H39" s="190"/>
      <c r="J39" s="90"/>
      <c r="M39" s="90"/>
      <c r="N39" s="90"/>
      <c r="O39" s="90"/>
      <c r="P39" s="90"/>
      <c r="Q39" s="113"/>
      <c r="R39" s="90"/>
      <c r="W39" s="90"/>
      <c r="AC39" s="90"/>
      <c r="AD39" s="90"/>
      <c r="AE39" s="90"/>
      <c r="AJ39" s="90"/>
      <c r="AK39" s="90"/>
      <c r="AM39" s="90"/>
      <c r="AN39" s="90"/>
      <c r="AO39" s="90"/>
      <c r="AP39" s="90"/>
      <c r="AQ39" s="90"/>
    </row>
    <row r="40" spans="1:43">
      <c r="A40" s="104"/>
      <c r="B40" s="90"/>
      <c r="C40" s="90"/>
      <c r="D40" s="90"/>
      <c r="E40" s="90"/>
      <c r="F40" s="90"/>
      <c r="G40" s="90"/>
      <c r="H40" s="190"/>
      <c r="J40" s="90"/>
      <c r="M40" s="90"/>
      <c r="N40" s="90"/>
      <c r="O40" s="90"/>
      <c r="P40" s="90"/>
      <c r="Q40" s="113"/>
      <c r="R40" s="90"/>
      <c r="W40" s="90"/>
      <c r="AC40" s="90"/>
      <c r="AD40" s="90"/>
      <c r="AE40" s="90"/>
      <c r="AJ40" s="90"/>
      <c r="AK40" s="90"/>
      <c r="AM40" s="90"/>
      <c r="AN40" s="90"/>
      <c r="AO40" s="90"/>
      <c r="AP40" s="90"/>
      <c r="AQ40" s="90"/>
    </row>
    <row r="41" spans="1:43">
      <c r="A41" s="104"/>
      <c r="B41" s="90"/>
      <c r="C41" s="90"/>
      <c r="D41" s="90"/>
      <c r="E41" s="90"/>
      <c r="F41" s="90"/>
      <c r="G41" s="90"/>
      <c r="H41" s="190"/>
      <c r="J41" s="90"/>
      <c r="M41" s="90"/>
      <c r="N41" s="90"/>
      <c r="O41" s="90"/>
      <c r="P41" s="90"/>
      <c r="Q41" s="113"/>
      <c r="R41" s="90"/>
      <c r="W41" s="90"/>
      <c r="AC41" s="90"/>
      <c r="AD41" s="90"/>
      <c r="AE41" s="90"/>
      <c r="AJ41" s="90"/>
      <c r="AK41" s="90"/>
      <c r="AM41" s="90"/>
      <c r="AN41" s="90"/>
      <c r="AO41" s="90"/>
      <c r="AP41" s="90"/>
      <c r="AQ41" s="90"/>
    </row>
    <row r="42" spans="1:43">
      <c r="A42" s="104"/>
      <c r="B42" s="90"/>
      <c r="C42" s="90"/>
      <c r="D42" s="90"/>
      <c r="E42" s="90"/>
      <c r="F42" s="90"/>
      <c r="G42" s="90"/>
      <c r="H42" s="190"/>
      <c r="J42" s="90"/>
      <c r="M42" s="90"/>
      <c r="N42" s="90"/>
      <c r="O42" s="90"/>
      <c r="P42" s="90"/>
      <c r="Q42" s="113"/>
      <c r="R42" s="90"/>
      <c r="W42" s="90"/>
      <c r="AC42" s="90"/>
      <c r="AD42" s="90"/>
      <c r="AE42" s="90"/>
      <c r="AJ42" s="90"/>
      <c r="AK42" s="90"/>
      <c r="AM42" s="90"/>
      <c r="AN42" s="90"/>
      <c r="AO42" s="90"/>
      <c r="AP42" s="90"/>
      <c r="AQ42" s="90"/>
    </row>
    <row r="43" spans="1:43">
      <c r="A43" s="104"/>
      <c r="B43" s="90"/>
      <c r="C43" s="90"/>
      <c r="D43" s="90"/>
      <c r="E43" s="90"/>
      <c r="F43" s="90"/>
      <c r="G43" s="90"/>
      <c r="H43" s="190"/>
      <c r="J43" s="90"/>
      <c r="M43" s="90"/>
      <c r="N43" s="90"/>
      <c r="O43" s="90"/>
      <c r="P43" s="90"/>
      <c r="Q43" s="113"/>
      <c r="R43" s="90"/>
      <c r="W43" s="90"/>
      <c r="AC43" s="90"/>
      <c r="AD43" s="90"/>
      <c r="AE43" s="90"/>
      <c r="AJ43" s="90"/>
      <c r="AK43" s="90"/>
      <c r="AM43" s="90"/>
      <c r="AN43" s="90"/>
      <c r="AO43" s="90"/>
      <c r="AP43" s="90"/>
      <c r="AQ43" s="90"/>
    </row>
    <row r="44" spans="1:43">
      <c r="A44" s="104"/>
      <c r="B44" s="90"/>
      <c r="C44" s="90"/>
      <c r="D44" s="90"/>
      <c r="E44" s="90"/>
      <c r="F44" s="90"/>
      <c r="G44" s="90"/>
      <c r="H44" s="190"/>
      <c r="J44" s="90"/>
      <c r="M44" s="90"/>
      <c r="N44" s="90"/>
      <c r="O44" s="90"/>
      <c r="P44" s="90"/>
      <c r="Q44" s="113"/>
      <c r="R44" s="90"/>
      <c r="W44" s="90"/>
      <c r="AC44" s="90"/>
      <c r="AD44" s="90"/>
      <c r="AE44" s="90"/>
      <c r="AJ44" s="90"/>
      <c r="AK44" s="90"/>
      <c r="AM44" s="90"/>
      <c r="AN44" s="90"/>
      <c r="AO44" s="90"/>
      <c r="AP44" s="90"/>
      <c r="AQ44" s="90"/>
    </row>
    <row r="45" spans="1:43">
      <c r="A45" s="104"/>
      <c r="B45" s="90"/>
      <c r="C45" s="90"/>
      <c r="D45" s="90"/>
      <c r="E45" s="90"/>
      <c r="F45" s="90"/>
      <c r="G45" s="90"/>
      <c r="H45" s="190"/>
      <c r="J45" s="90"/>
      <c r="M45" s="90"/>
      <c r="N45" s="90"/>
      <c r="O45" s="90"/>
      <c r="P45" s="90"/>
      <c r="Q45" s="113"/>
      <c r="R45" s="90"/>
      <c r="W45" s="90"/>
      <c r="AC45" s="90"/>
      <c r="AD45" s="90"/>
      <c r="AE45" s="90"/>
      <c r="AJ45" s="90"/>
      <c r="AK45" s="90"/>
      <c r="AM45" s="90"/>
      <c r="AN45" s="90"/>
      <c r="AO45" s="90"/>
      <c r="AP45" s="90"/>
      <c r="AQ45" s="90"/>
    </row>
    <row r="46" spans="1:43">
      <c r="A46" s="104"/>
      <c r="B46" s="90"/>
      <c r="C46" s="90"/>
      <c r="D46" s="90"/>
      <c r="E46" s="90"/>
      <c r="F46" s="90"/>
      <c r="G46" s="90"/>
      <c r="H46" s="190"/>
      <c r="J46" s="90"/>
      <c r="M46" s="90"/>
      <c r="N46" s="90"/>
      <c r="O46" s="90"/>
      <c r="P46" s="90"/>
      <c r="Q46" s="113"/>
      <c r="R46" s="90"/>
      <c r="W46" s="90"/>
      <c r="AC46" s="90"/>
      <c r="AD46" s="90"/>
      <c r="AE46" s="90"/>
      <c r="AJ46" s="90"/>
      <c r="AK46" s="90"/>
      <c r="AM46" s="90"/>
      <c r="AN46" s="90"/>
      <c r="AO46" s="90"/>
      <c r="AP46" s="90"/>
      <c r="AQ46" s="90"/>
    </row>
    <row r="47" spans="1:43">
      <c r="A47" s="104"/>
      <c r="B47" s="90"/>
      <c r="C47" s="90"/>
      <c r="D47" s="90"/>
      <c r="E47" s="90"/>
      <c r="F47" s="90"/>
      <c r="G47" s="90"/>
      <c r="H47" s="190"/>
      <c r="J47" s="90"/>
      <c r="M47" s="90"/>
      <c r="N47" s="90"/>
      <c r="O47" s="90"/>
      <c r="P47" s="90"/>
      <c r="Q47" s="113"/>
      <c r="R47" s="90"/>
      <c r="W47" s="90"/>
      <c r="AC47" s="90"/>
      <c r="AD47" s="90"/>
      <c r="AE47" s="90"/>
      <c r="AJ47" s="90"/>
      <c r="AK47" s="90"/>
      <c r="AM47" s="90"/>
      <c r="AN47" s="90"/>
      <c r="AO47" s="90"/>
      <c r="AP47" s="90"/>
      <c r="AQ47" s="90"/>
    </row>
    <row r="48" spans="1:43">
      <c r="A48" s="104"/>
      <c r="B48" s="90"/>
      <c r="C48" s="90"/>
      <c r="D48" s="90"/>
      <c r="E48" s="90"/>
      <c r="F48" s="90"/>
      <c r="G48" s="90"/>
      <c r="H48" s="190"/>
      <c r="J48" s="90"/>
      <c r="M48" s="90"/>
      <c r="N48" s="90"/>
      <c r="O48" s="90"/>
      <c r="P48" s="90"/>
      <c r="Q48" s="113"/>
      <c r="R48" s="90"/>
      <c r="W48" s="90"/>
      <c r="AC48" s="90"/>
      <c r="AD48" s="90"/>
      <c r="AE48" s="90"/>
      <c r="AJ48" s="90"/>
      <c r="AK48" s="90"/>
      <c r="AM48" s="90"/>
      <c r="AN48" s="90"/>
      <c r="AO48" s="90"/>
      <c r="AP48" s="90"/>
      <c r="AQ48" s="90"/>
    </row>
    <row r="49" spans="1:43">
      <c r="A49" s="104"/>
      <c r="B49" s="90"/>
      <c r="C49" s="90"/>
      <c r="D49" s="90"/>
      <c r="E49" s="90"/>
      <c r="F49" s="90"/>
      <c r="G49" s="90"/>
      <c r="H49" s="190"/>
      <c r="J49" s="90"/>
      <c r="M49" s="90"/>
      <c r="N49" s="90"/>
      <c r="O49" s="90"/>
      <c r="P49" s="90"/>
      <c r="Q49" s="113"/>
      <c r="R49" s="90"/>
      <c r="W49" s="90"/>
      <c r="AC49" s="90"/>
      <c r="AD49" s="90"/>
      <c r="AE49" s="90"/>
      <c r="AJ49" s="90"/>
      <c r="AK49" s="90"/>
      <c r="AM49" s="90"/>
      <c r="AN49" s="90"/>
      <c r="AO49" s="90"/>
      <c r="AP49" s="90"/>
      <c r="AQ49" s="90"/>
    </row>
    <row r="50" spans="1:43">
      <c r="A50" s="104"/>
      <c r="B50" s="90"/>
      <c r="C50" s="90"/>
      <c r="D50" s="90"/>
      <c r="E50" s="90"/>
      <c r="F50" s="90"/>
      <c r="G50" s="90"/>
      <c r="H50" s="190"/>
      <c r="J50" s="90"/>
      <c r="M50" s="90"/>
      <c r="N50" s="90"/>
      <c r="O50" s="90"/>
      <c r="P50" s="90"/>
      <c r="Q50" s="113"/>
      <c r="R50" s="90"/>
      <c r="W50" s="90"/>
      <c r="AC50" s="90"/>
      <c r="AD50" s="90"/>
      <c r="AE50" s="90"/>
      <c r="AJ50" s="90"/>
      <c r="AK50" s="90"/>
      <c r="AM50" s="90"/>
      <c r="AN50" s="90"/>
      <c r="AO50" s="90"/>
      <c r="AP50" s="90"/>
      <c r="AQ50" s="90"/>
    </row>
    <row r="51" spans="1:43">
      <c r="A51" s="104"/>
      <c r="B51" s="90"/>
      <c r="C51" s="90"/>
      <c r="D51" s="90"/>
      <c r="E51" s="90"/>
      <c r="F51" s="90"/>
      <c r="G51" s="90"/>
      <c r="H51" s="190"/>
      <c r="J51" s="90"/>
      <c r="M51" s="90"/>
      <c r="N51" s="90"/>
      <c r="O51" s="90"/>
      <c r="P51" s="90"/>
      <c r="Q51" s="113"/>
      <c r="R51" s="90"/>
      <c r="W51" s="90"/>
      <c r="AC51" s="90"/>
      <c r="AD51" s="90"/>
      <c r="AE51" s="90"/>
      <c r="AJ51" s="90"/>
      <c r="AK51" s="90"/>
      <c r="AM51" s="90"/>
      <c r="AN51" s="90"/>
      <c r="AO51" s="90"/>
      <c r="AP51" s="90"/>
      <c r="AQ51" s="90"/>
    </row>
    <row r="52" spans="1:43">
      <c r="A52" s="104"/>
      <c r="B52" s="90"/>
      <c r="C52" s="90"/>
      <c r="D52" s="90"/>
      <c r="E52" s="90"/>
      <c r="F52" s="90"/>
      <c r="G52" s="90"/>
      <c r="H52" s="190"/>
      <c r="J52" s="90"/>
      <c r="M52" s="90"/>
      <c r="N52" s="90"/>
      <c r="O52" s="90"/>
      <c r="P52" s="90"/>
      <c r="Q52" s="113"/>
      <c r="R52" s="90"/>
      <c r="W52" s="90"/>
      <c r="AC52" s="90"/>
      <c r="AD52" s="90"/>
      <c r="AE52" s="90"/>
      <c r="AJ52" s="90"/>
      <c r="AK52" s="90"/>
      <c r="AM52" s="90"/>
      <c r="AN52" s="90"/>
      <c r="AO52" s="90"/>
      <c r="AP52" s="90"/>
      <c r="AQ52" s="90"/>
    </row>
    <row r="53" spans="1:43">
      <c r="A53" s="104"/>
      <c r="B53" s="90"/>
      <c r="C53" s="90"/>
      <c r="D53" s="90"/>
      <c r="E53" s="90"/>
      <c r="F53" s="90"/>
      <c r="G53" s="90"/>
      <c r="H53" s="190"/>
      <c r="J53" s="90"/>
      <c r="M53" s="90"/>
      <c r="N53" s="90"/>
      <c r="O53" s="90"/>
      <c r="P53" s="90"/>
      <c r="Q53" s="113"/>
      <c r="R53" s="90"/>
      <c r="W53" s="90"/>
      <c r="AC53" s="90"/>
      <c r="AD53" s="90"/>
      <c r="AE53" s="90"/>
      <c r="AJ53" s="90"/>
      <c r="AK53" s="90"/>
      <c r="AM53" s="90"/>
      <c r="AN53" s="90"/>
      <c r="AO53" s="90"/>
      <c r="AP53" s="90"/>
      <c r="AQ53" s="90"/>
    </row>
    <row r="54" spans="1:43">
      <c r="A54" s="104"/>
      <c r="B54" s="90"/>
      <c r="C54" s="90"/>
      <c r="D54" s="90"/>
      <c r="E54" s="90"/>
      <c r="F54" s="90"/>
      <c r="G54" s="90"/>
      <c r="H54" s="190"/>
      <c r="J54" s="90"/>
      <c r="M54" s="90"/>
      <c r="N54" s="90"/>
      <c r="O54" s="90"/>
      <c r="P54" s="90"/>
      <c r="Q54" s="113"/>
      <c r="R54" s="90"/>
      <c r="W54" s="90"/>
      <c r="AC54" s="90"/>
      <c r="AD54" s="90"/>
      <c r="AE54" s="90"/>
      <c r="AJ54" s="90"/>
      <c r="AK54" s="90"/>
      <c r="AM54" s="90"/>
      <c r="AN54" s="90"/>
      <c r="AO54" s="90"/>
      <c r="AP54" s="90"/>
      <c r="AQ54" s="90"/>
    </row>
    <row r="55" spans="1:43">
      <c r="A55" s="104"/>
      <c r="B55" s="90"/>
      <c r="C55" s="90"/>
      <c r="D55" s="90"/>
      <c r="E55" s="90"/>
      <c r="F55" s="90"/>
      <c r="G55" s="90"/>
      <c r="H55" s="190"/>
      <c r="J55" s="90"/>
      <c r="M55" s="90"/>
      <c r="N55" s="90"/>
      <c r="O55" s="90"/>
      <c r="P55" s="90"/>
      <c r="Q55" s="113"/>
      <c r="R55" s="90"/>
      <c r="W55" s="90"/>
      <c r="AC55" s="90"/>
      <c r="AD55" s="90"/>
      <c r="AE55" s="90"/>
      <c r="AJ55" s="90"/>
      <c r="AK55" s="90"/>
      <c r="AM55" s="90"/>
      <c r="AN55" s="90"/>
      <c r="AO55" s="90"/>
      <c r="AP55" s="90"/>
      <c r="AQ55" s="90"/>
    </row>
    <row r="56" spans="1:43">
      <c r="A56" s="104"/>
      <c r="B56" s="90"/>
      <c r="C56" s="90"/>
      <c r="D56" s="90"/>
      <c r="E56" s="90"/>
      <c r="F56" s="90"/>
      <c r="G56" s="90"/>
      <c r="H56" s="190"/>
      <c r="J56" s="90"/>
      <c r="M56" s="90"/>
      <c r="N56" s="90"/>
      <c r="O56" s="90"/>
      <c r="P56" s="90"/>
      <c r="Q56" s="113"/>
      <c r="R56" s="90"/>
      <c r="W56" s="90"/>
      <c r="AC56" s="90"/>
      <c r="AD56" s="90"/>
      <c r="AE56" s="90"/>
      <c r="AJ56" s="90"/>
      <c r="AK56" s="90"/>
      <c r="AM56" s="90"/>
      <c r="AN56" s="90"/>
      <c r="AO56" s="90"/>
      <c r="AP56" s="90"/>
      <c r="AQ56" s="90"/>
    </row>
    <row r="57" spans="1:43">
      <c r="A57" s="104"/>
      <c r="B57" s="90"/>
      <c r="C57" s="90"/>
      <c r="D57" s="90"/>
      <c r="E57" s="90"/>
      <c r="F57" s="90"/>
      <c r="G57" s="90"/>
      <c r="H57" s="190"/>
      <c r="J57" s="90"/>
      <c r="M57" s="90"/>
      <c r="N57" s="90"/>
      <c r="O57" s="90"/>
      <c r="P57" s="90"/>
      <c r="Q57" s="113"/>
      <c r="R57" s="90"/>
      <c r="W57" s="90"/>
      <c r="AC57" s="90"/>
      <c r="AD57" s="90"/>
      <c r="AE57" s="90"/>
      <c r="AJ57" s="90"/>
      <c r="AK57" s="90"/>
      <c r="AM57" s="90"/>
      <c r="AN57" s="90"/>
      <c r="AO57" s="90"/>
      <c r="AP57" s="90"/>
      <c r="AQ57" s="90"/>
    </row>
    <row r="58" spans="1:43">
      <c r="A58" s="104"/>
      <c r="B58" s="90"/>
      <c r="C58" s="90"/>
      <c r="D58" s="90"/>
      <c r="E58" s="90"/>
      <c r="F58" s="90"/>
      <c r="G58" s="90"/>
      <c r="H58" s="190"/>
      <c r="J58" s="90"/>
      <c r="M58" s="90"/>
      <c r="N58" s="90"/>
      <c r="O58" s="90"/>
      <c r="P58" s="90"/>
      <c r="Q58" s="113"/>
      <c r="R58" s="90"/>
      <c r="W58" s="90"/>
      <c r="AC58" s="90"/>
      <c r="AD58" s="90"/>
      <c r="AE58" s="90"/>
      <c r="AJ58" s="90"/>
      <c r="AK58" s="90"/>
      <c r="AM58" s="90"/>
      <c r="AN58" s="90"/>
      <c r="AO58" s="90"/>
      <c r="AP58" s="90"/>
      <c r="AQ58" s="90"/>
    </row>
    <row r="59" spans="1:43">
      <c r="A59" s="104"/>
      <c r="B59" s="90"/>
      <c r="C59" s="90"/>
      <c r="D59" s="90"/>
      <c r="E59" s="90"/>
      <c r="F59" s="90"/>
      <c r="G59" s="90"/>
      <c r="H59" s="190"/>
      <c r="J59" s="90"/>
      <c r="M59" s="90"/>
      <c r="N59" s="90"/>
      <c r="O59" s="90"/>
      <c r="P59" s="90"/>
      <c r="Q59" s="113"/>
      <c r="R59" s="90"/>
      <c r="W59" s="90"/>
      <c r="AC59" s="90"/>
      <c r="AD59" s="90"/>
      <c r="AE59" s="90"/>
      <c r="AJ59" s="90"/>
      <c r="AK59" s="90"/>
      <c r="AM59" s="90"/>
      <c r="AN59" s="90"/>
      <c r="AO59" s="90"/>
      <c r="AP59" s="90"/>
      <c r="AQ59" s="90"/>
    </row>
    <row r="60" spans="1:43">
      <c r="A60" s="104"/>
      <c r="B60" s="90"/>
      <c r="C60" s="90"/>
      <c r="D60" s="90"/>
      <c r="E60" s="90"/>
      <c r="F60" s="90"/>
      <c r="G60" s="90"/>
      <c r="H60" s="190"/>
      <c r="J60" s="90"/>
      <c r="M60" s="90"/>
      <c r="N60" s="90"/>
      <c r="O60" s="90"/>
      <c r="P60" s="90"/>
      <c r="Q60" s="113"/>
      <c r="R60" s="90"/>
      <c r="W60" s="90"/>
      <c r="AC60" s="90"/>
      <c r="AD60" s="90"/>
      <c r="AE60" s="90"/>
      <c r="AJ60" s="90"/>
      <c r="AK60" s="90"/>
      <c r="AM60" s="90"/>
      <c r="AN60" s="90"/>
      <c r="AO60" s="90"/>
      <c r="AP60" s="90"/>
      <c r="AQ60" s="90"/>
    </row>
    <row r="61" spans="1:43">
      <c r="A61" s="104"/>
      <c r="B61" s="90"/>
      <c r="C61" s="90"/>
      <c r="D61" s="90"/>
      <c r="E61" s="90"/>
      <c r="F61" s="90"/>
      <c r="G61" s="90"/>
      <c r="H61" s="190"/>
      <c r="J61" s="90"/>
      <c r="M61" s="90"/>
      <c r="N61" s="90"/>
      <c r="O61" s="90"/>
      <c r="P61" s="90"/>
      <c r="Q61" s="113"/>
      <c r="R61" s="90"/>
      <c r="W61" s="90"/>
      <c r="AC61" s="90"/>
      <c r="AD61" s="90"/>
      <c r="AE61" s="90"/>
      <c r="AJ61" s="90"/>
      <c r="AK61" s="90"/>
      <c r="AM61" s="90"/>
      <c r="AN61" s="90"/>
      <c r="AO61" s="90"/>
      <c r="AP61" s="90"/>
      <c r="AQ61" s="90"/>
    </row>
    <row r="62" spans="1:43">
      <c r="A62" s="104"/>
      <c r="B62" s="90"/>
      <c r="C62" s="90"/>
      <c r="D62" s="90"/>
      <c r="E62" s="90"/>
      <c r="F62" s="90"/>
      <c r="G62" s="90"/>
      <c r="H62" s="190"/>
      <c r="J62" s="90"/>
      <c r="M62" s="90"/>
      <c r="N62" s="90"/>
      <c r="O62" s="90"/>
      <c r="P62" s="90"/>
      <c r="Q62" s="113"/>
      <c r="R62" s="90"/>
      <c r="W62" s="90"/>
      <c r="AC62" s="90"/>
      <c r="AD62" s="90"/>
      <c r="AE62" s="90"/>
      <c r="AJ62" s="90"/>
      <c r="AK62" s="90"/>
      <c r="AM62" s="90"/>
      <c r="AN62" s="90"/>
      <c r="AO62" s="90"/>
      <c r="AP62" s="90"/>
      <c r="AQ62" s="90"/>
    </row>
    <row r="63" spans="1:43">
      <c r="A63" s="104"/>
      <c r="B63" s="90"/>
      <c r="C63" s="90"/>
      <c r="D63" s="90"/>
      <c r="E63" s="90"/>
      <c r="F63" s="90"/>
      <c r="G63" s="90"/>
      <c r="H63" s="190"/>
      <c r="J63" s="90"/>
      <c r="M63" s="90"/>
      <c r="N63" s="90"/>
      <c r="O63" s="90"/>
      <c r="P63" s="90"/>
      <c r="Q63" s="113"/>
      <c r="R63" s="90"/>
      <c r="W63" s="90"/>
      <c r="AC63" s="90"/>
      <c r="AD63" s="90"/>
      <c r="AE63" s="90"/>
      <c r="AJ63" s="90"/>
      <c r="AK63" s="90"/>
      <c r="AM63" s="90"/>
      <c r="AN63" s="90"/>
      <c r="AO63" s="90"/>
      <c r="AP63" s="90"/>
      <c r="AQ63" s="90"/>
    </row>
    <row r="64" spans="1:43">
      <c r="A64" s="104"/>
      <c r="B64" s="90"/>
      <c r="C64" s="90"/>
      <c r="D64" s="90"/>
      <c r="E64" s="90"/>
      <c r="F64" s="90"/>
      <c r="G64" s="90"/>
      <c r="H64" s="190"/>
      <c r="J64" s="90"/>
      <c r="M64" s="90"/>
      <c r="N64" s="90"/>
      <c r="O64" s="90"/>
      <c r="P64" s="90"/>
      <c r="Q64" s="113"/>
      <c r="R64" s="90"/>
      <c r="W64" s="90"/>
      <c r="AC64" s="90"/>
      <c r="AD64" s="90"/>
      <c r="AE64" s="90"/>
      <c r="AJ64" s="90"/>
      <c r="AK64" s="90"/>
      <c r="AM64" s="90"/>
      <c r="AN64" s="90"/>
      <c r="AO64" s="90"/>
      <c r="AP64" s="90"/>
      <c r="AQ64" s="90"/>
    </row>
    <row r="65" spans="1:43">
      <c r="A65" s="104"/>
      <c r="B65" s="90"/>
      <c r="C65" s="90"/>
      <c r="D65" s="90"/>
      <c r="E65" s="90"/>
      <c r="F65" s="90"/>
      <c r="G65" s="90"/>
      <c r="H65" s="190"/>
      <c r="J65" s="90"/>
      <c r="M65" s="90"/>
      <c r="N65" s="90"/>
      <c r="O65" s="90"/>
      <c r="P65" s="90"/>
      <c r="Q65" s="113"/>
      <c r="R65" s="90"/>
      <c r="W65" s="90"/>
      <c r="AC65" s="90"/>
      <c r="AD65" s="90"/>
      <c r="AE65" s="90"/>
      <c r="AJ65" s="90"/>
      <c r="AK65" s="90"/>
      <c r="AM65" s="90"/>
      <c r="AN65" s="90"/>
      <c r="AO65" s="90"/>
      <c r="AP65" s="90"/>
      <c r="AQ65" s="90"/>
    </row>
    <row r="66" spans="1:43">
      <c r="A66" s="104"/>
      <c r="B66" s="90"/>
      <c r="C66" s="90"/>
      <c r="D66" s="90"/>
      <c r="E66" s="90"/>
      <c r="F66" s="90"/>
      <c r="G66" s="90"/>
      <c r="H66" s="190"/>
      <c r="J66" s="90"/>
      <c r="M66" s="90"/>
      <c r="N66" s="90"/>
      <c r="O66" s="90"/>
      <c r="P66" s="90"/>
      <c r="Q66" s="113"/>
      <c r="R66" s="90"/>
      <c r="W66" s="90"/>
      <c r="AC66" s="90"/>
      <c r="AD66" s="90"/>
      <c r="AE66" s="90"/>
      <c r="AJ66" s="90"/>
      <c r="AK66" s="90"/>
      <c r="AM66" s="90"/>
      <c r="AN66" s="90"/>
      <c r="AO66" s="90"/>
      <c r="AP66" s="90"/>
      <c r="AQ66" s="90"/>
    </row>
    <row r="67" spans="1:43">
      <c r="A67" s="104"/>
      <c r="B67" s="90"/>
      <c r="C67" s="90"/>
      <c r="D67" s="90"/>
      <c r="E67" s="90"/>
      <c r="F67" s="90"/>
      <c r="G67" s="90"/>
      <c r="H67" s="190"/>
      <c r="J67" s="90"/>
      <c r="M67" s="90"/>
      <c r="N67" s="90"/>
      <c r="O67" s="90"/>
      <c r="P67" s="90"/>
      <c r="Q67" s="113"/>
      <c r="R67" s="90"/>
      <c r="W67" s="90"/>
      <c r="AC67" s="90"/>
      <c r="AD67" s="90"/>
      <c r="AE67" s="90"/>
      <c r="AJ67" s="90"/>
      <c r="AK67" s="90"/>
      <c r="AM67" s="90"/>
      <c r="AN67" s="90"/>
      <c r="AO67" s="90"/>
      <c r="AP67" s="90"/>
      <c r="AQ67" s="90"/>
    </row>
    <row r="68" spans="1:43">
      <c r="A68" s="104"/>
      <c r="B68" s="90"/>
      <c r="C68" s="90"/>
      <c r="D68" s="90"/>
      <c r="E68" s="90"/>
      <c r="F68" s="90"/>
      <c r="G68" s="90"/>
      <c r="H68" s="190"/>
      <c r="J68" s="90"/>
      <c r="M68" s="90"/>
      <c r="N68" s="90"/>
      <c r="O68" s="90"/>
      <c r="P68" s="90"/>
      <c r="Q68" s="113"/>
      <c r="R68" s="90"/>
      <c r="W68" s="90"/>
      <c r="AC68" s="90"/>
      <c r="AD68" s="90"/>
      <c r="AE68" s="90"/>
      <c r="AJ68" s="90"/>
      <c r="AK68" s="90"/>
      <c r="AM68" s="90"/>
      <c r="AN68" s="90"/>
      <c r="AO68" s="90"/>
      <c r="AP68" s="90"/>
      <c r="AQ68" s="90"/>
    </row>
    <row r="69" spans="1:43">
      <c r="A69" s="104"/>
      <c r="B69" s="90"/>
      <c r="C69" s="90"/>
      <c r="D69" s="90"/>
      <c r="E69" s="90"/>
      <c r="F69" s="90"/>
      <c r="G69" s="90"/>
      <c r="H69" s="190"/>
      <c r="J69" s="90"/>
      <c r="M69" s="90"/>
      <c r="N69" s="90"/>
      <c r="O69" s="90"/>
      <c r="P69" s="90"/>
      <c r="Q69" s="113"/>
      <c r="R69" s="90"/>
      <c r="W69" s="90"/>
      <c r="AC69" s="90"/>
      <c r="AD69" s="90"/>
      <c r="AE69" s="90"/>
      <c r="AJ69" s="90"/>
      <c r="AK69" s="90"/>
      <c r="AM69" s="90"/>
      <c r="AN69" s="90"/>
      <c r="AO69" s="90"/>
      <c r="AP69" s="90"/>
      <c r="AQ69" s="90"/>
    </row>
    <row r="70" spans="1:43">
      <c r="A70" s="104"/>
      <c r="B70" s="90"/>
      <c r="C70" s="90"/>
      <c r="D70" s="90"/>
      <c r="E70" s="90"/>
      <c r="F70" s="90"/>
      <c r="G70" s="90"/>
      <c r="H70" s="190"/>
      <c r="J70" s="90"/>
      <c r="M70" s="90"/>
      <c r="N70" s="90"/>
      <c r="O70" s="90"/>
      <c r="P70" s="90"/>
      <c r="Q70" s="113"/>
      <c r="R70" s="90"/>
      <c r="W70" s="90"/>
      <c r="AC70" s="90"/>
      <c r="AD70" s="90"/>
      <c r="AE70" s="90"/>
      <c r="AJ70" s="90"/>
      <c r="AK70" s="90"/>
      <c r="AM70" s="90"/>
      <c r="AN70" s="90"/>
      <c r="AO70" s="90"/>
      <c r="AP70" s="90"/>
      <c r="AQ70" s="90"/>
    </row>
    <row r="71" spans="1:43">
      <c r="A71" s="104"/>
      <c r="B71" s="90"/>
      <c r="C71" s="90"/>
      <c r="D71" s="90"/>
      <c r="E71" s="90"/>
      <c r="F71" s="90"/>
      <c r="G71" s="90"/>
      <c r="H71" s="190"/>
      <c r="J71" s="90"/>
      <c r="M71" s="90"/>
      <c r="N71" s="90"/>
      <c r="O71" s="90"/>
      <c r="P71" s="90"/>
      <c r="Q71" s="113"/>
      <c r="R71" s="90"/>
      <c r="W71" s="90"/>
      <c r="AC71" s="90"/>
      <c r="AD71" s="90"/>
      <c r="AE71" s="90"/>
      <c r="AJ71" s="90"/>
      <c r="AK71" s="90"/>
      <c r="AM71" s="90"/>
      <c r="AN71" s="90"/>
      <c r="AO71" s="90"/>
      <c r="AP71" s="90"/>
      <c r="AQ71" s="90"/>
    </row>
    <row r="72" spans="1:43">
      <c r="A72" s="104"/>
      <c r="B72" s="90"/>
      <c r="C72" s="90"/>
      <c r="D72" s="90"/>
      <c r="E72" s="90"/>
      <c r="F72" s="90"/>
      <c r="G72" s="90"/>
      <c r="H72" s="190"/>
      <c r="J72" s="90"/>
      <c r="M72" s="90"/>
      <c r="N72" s="90"/>
      <c r="O72" s="90"/>
      <c r="P72" s="90"/>
      <c r="Q72" s="113"/>
      <c r="R72" s="90"/>
      <c r="W72" s="90"/>
      <c r="AC72" s="90"/>
      <c r="AD72" s="90"/>
      <c r="AE72" s="90"/>
      <c r="AJ72" s="90"/>
      <c r="AK72" s="90"/>
      <c r="AM72" s="90"/>
      <c r="AN72" s="90"/>
      <c r="AO72" s="90"/>
      <c r="AP72" s="90"/>
      <c r="AQ72" s="90"/>
    </row>
    <row r="73" spans="1:43">
      <c r="A73" s="104"/>
      <c r="B73" s="90"/>
      <c r="C73" s="90"/>
      <c r="D73" s="90"/>
      <c r="E73" s="90"/>
      <c r="F73" s="90"/>
      <c r="G73" s="90"/>
      <c r="H73" s="190"/>
      <c r="J73" s="90"/>
      <c r="M73" s="90"/>
      <c r="N73" s="90"/>
      <c r="O73" s="90"/>
      <c r="P73" s="90"/>
      <c r="Q73" s="113"/>
      <c r="R73" s="90"/>
      <c r="W73" s="90"/>
      <c r="AC73" s="90"/>
      <c r="AD73" s="90"/>
      <c r="AE73" s="90"/>
      <c r="AJ73" s="90"/>
      <c r="AK73" s="90"/>
      <c r="AM73" s="90"/>
      <c r="AN73" s="90"/>
      <c r="AO73" s="90"/>
      <c r="AP73" s="90"/>
      <c r="AQ73" s="90"/>
    </row>
    <row r="74" spans="1:43">
      <c r="A74" s="104"/>
      <c r="B74" s="90"/>
      <c r="C74" s="90"/>
      <c r="D74" s="90"/>
      <c r="E74" s="90"/>
      <c r="F74" s="90"/>
      <c r="G74" s="90"/>
      <c r="H74" s="190"/>
      <c r="J74" s="90"/>
      <c r="M74" s="90"/>
      <c r="N74" s="90"/>
      <c r="O74" s="90"/>
      <c r="P74" s="90"/>
      <c r="Q74" s="113"/>
      <c r="R74" s="90"/>
      <c r="W74" s="90"/>
      <c r="AC74" s="90"/>
      <c r="AD74" s="90"/>
      <c r="AE74" s="90"/>
      <c r="AJ74" s="90"/>
      <c r="AK74" s="90"/>
      <c r="AM74" s="90"/>
      <c r="AN74" s="90"/>
      <c r="AO74" s="90"/>
      <c r="AP74" s="90"/>
      <c r="AQ74" s="90"/>
    </row>
    <row r="75" spans="1:43">
      <c r="A75" s="104"/>
      <c r="B75" s="90"/>
      <c r="C75" s="90"/>
      <c r="D75" s="90"/>
      <c r="E75" s="90"/>
      <c r="F75" s="90"/>
      <c r="G75" s="90"/>
      <c r="H75" s="190"/>
      <c r="J75" s="90"/>
      <c r="M75" s="90"/>
      <c r="N75" s="90"/>
      <c r="O75" s="90"/>
      <c r="P75" s="90"/>
      <c r="Q75" s="113"/>
      <c r="R75" s="90"/>
      <c r="W75" s="90"/>
      <c r="AC75" s="90"/>
      <c r="AD75" s="90"/>
      <c r="AE75" s="90"/>
      <c r="AJ75" s="90"/>
      <c r="AK75" s="90"/>
      <c r="AM75" s="90"/>
      <c r="AN75" s="90"/>
      <c r="AO75" s="90"/>
      <c r="AP75" s="90"/>
      <c r="AQ75" s="90"/>
    </row>
    <row r="76" spans="1:43">
      <c r="A76" s="104"/>
      <c r="B76" s="90"/>
      <c r="C76" s="90"/>
      <c r="D76" s="90"/>
      <c r="E76" s="90"/>
      <c r="F76" s="90"/>
      <c r="G76" s="90"/>
      <c r="H76" s="190"/>
      <c r="J76" s="90"/>
      <c r="M76" s="90"/>
      <c r="N76" s="90"/>
      <c r="O76" s="90"/>
      <c r="P76" s="90"/>
      <c r="Q76" s="113"/>
      <c r="R76" s="90"/>
      <c r="W76" s="90"/>
      <c r="AC76" s="90"/>
      <c r="AD76" s="90"/>
      <c r="AE76" s="90"/>
      <c r="AJ76" s="90"/>
      <c r="AK76" s="90"/>
      <c r="AM76" s="90"/>
      <c r="AN76" s="90"/>
      <c r="AO76" s="90"/>
      <c r="AP76" s="90"/>
      <c r="AQ76" s="90"/>
    </row>
    <row r="77" spans="1:43">
      <c r="A77" s="104"/>
      <c r="B77" s="90"/>
      <c r="C77" s="90"/>
      <c r="D77" s="90"/>
      <c r="E77" s="90"/>
      <c r="F77" s="90"/>
      <c r="G77" s="90"/>
      <c r="H77" s="190"/>
      <c r="J77" s="90"/>
      <c r="M77" s="90"/>
      <c r="N77" s="90"/>
      <c r="O77" s="90"/>
      <c r="P77" s="90"/>
      <c r="Q77" s="113"/>
      <c r="R77" s="90"/>
      <c r="W77" s="90"/>
      <c r="AC77" s="90"/>
      <c r="AD77" s="90"/>
      <c r="AE77" s="90"/>
      <c r="AJ77" s="90"/>
      <c r="AK77" s="90"/>
      <c r="AM77" s="90"/>
      <c r="AN77" s="90"/>
      <c r="AO77" s="90"/>
      <c r="AP77" s="90"/>
      <c r="AQ77" s="90"/>
    </row>
    <row r="78" spans="1:43">
      <c r="A78" s="104"/>
      <c r="B78" s="90"/>
      <c r="C78" s="90"/>
      <c r="D78" s="90"/>
      <c r="E78" s="90"/>
      <c r="F78" s="90"/>
      <c r="G78" s="90"/>
      <c r="H78" s="190"/>
      <c r="J78" s="90"/>
      <c r="M78" s="90"/>
      <c r="N78" s="90"/>
      <c r="O78" s="90"/>
      <c r="P78" s="90"/>
      <c r="Q78" s="113"/>
      <c r="R78" s="90"/>
      <c r="W78" s="90"/>
      <c r="AC78" s="90"/>
      <c r="AD78" s="90"/>
      <c r="AE78" s="90"/>
      <c r="AJ78" s="90"/>
      <c r="AK78" s="90"/>
      <c r="AM78" s="90"/>
      <c r="AN78" s="90"/>
      <c r="AO78" s="90"/>
      <c r="AP78" s="90"/>
      <c r="AQ78" s="90"/>
    </row>
    <row r="79" spans="1:43">
      <c r="A79" s="104"/>
      <c r="B79" s="90"/>
      <c r="C79" s="90"/>
      <c r="D79" s="90"/>
      <c r="E79" s="90"/>
      <c r="F79" s="90"/>
      <c r="G79" s="90"/>
      <c r="H79" s="190"/>
      <c r="J79" s="90"/>
      <c r="M79" s="90"/>
      <c r="N79" s="90"/>
      <c r="O79" s="90"/>
      <c r="P79" s="90"/>
      <c r="Q79" s="113"/>
      <c r="R79" s="90"/>
      <c r="W79" s="90"/>
      <c r="AC79" s="90"/>
      <c r="AD79" s="90"/>
      <c r="AE79" s="90"/>
      <c r="AJ79" s="90"/>
      <c r="AK79" s="90"/>
      <c r="AM79" s="90"/>
      <c r="AN79" s="90"/>
      <c r="AO79" s="90"/>
      <c r="AP79" s="90"/>
      <c r="AQ79" s="90"/>
    </row>
    <row r="80" spans="1:43">
      <c r="A80" s="104"/>
      <c r="B80" s="90"/>
      <c r="C80" s="90"/>
      <c r="D80" s="90"/>
      <c r="E80" s="90"/>
      <c r="F80" s="90"/>
      <c r="G80" s="90"/>
      <c r="H80" s="190"/>
      <c r="J80" s="90"/>
      <c r="M80" s="90"/>
      <c r="N80" s="90"/>
      <c r="O80" s="90"/>
      <c r="P80" s="90"/>
      <c r="Q80" s="113"/>
      <c r="R80" s="90"/>
      <c r="W80" s="90"/>
      <c r="AC80" s="90"/>
      <c r="AD80" s="90"/>
      <c r="AE80" s="90"/>
      <c r="AJ80" s="90"/>
      <c r="AK80" s="90"/>
      <c r="AM80" s="90"/>
      <c r="AN80" s="90"/>
      <c r="AO80" s="90"/>
      <c r="AP80" s="90"/>
      <c r="AQ80" s="90"/>
    </row>
    <row r="81" spans="1:43">
      <c r="A81" s="104"/>
      <c r="B81" s="90"/>
      <c r="C81" s="90"/>
      <c r="D81" s="90"/>
      <c r="E81" s="90"/>
      <c r="F81" s="90"/>
      <c r="G81" s="90"/>
      <c r="H81" s="190"/>
      <c r="J81" s="90"/>
      <c r="M81" s="90"/>
      <c r="N81" s="90"/>
      <c r="O81" s="90"/>
      <c r="P81" s="90"/>
      <c r="Q81" s="113"/>
      <c r="R81" s="90"/>
      <c r="W81" s="90"/>
      <c r="AC81" s="90"/>
      <c r="AD81" s="90"/>
      <c r="AE81" s="90"/>
      <c r="AJ81" s="90"/>
      <c r="AK81" s="90"/>
      <c r="AM81" s="90"/>
      <c r="AN81" s="90"/>
      <c r="AO81" s="90"/>
      <c r="AP81" s="90"/>
      <c r="AQ81" s="90"/>
    </row>
    <row r="82" spans="1:43">
      <c r="A82" s="104"/>
      <c r="B82" s="90"/>
      <c r="C82" s="90"/>
      <c r="D82" s="90"/>
      <c r="E82" s="90"/>
      <c r="F82" s="90"/>
      <c r="G82" s="90"/>
      <c r="H82" s="190"/>
      <c r="J82" s="90"/>
      <c r="M82" s="90"/>
      <c r="N82" s="90"/>
      <c r="O82" s="90"/>
      <c r="P82" s="90"/>
      <c r="Q82" s="113"/>
      <c r="R82" s="90"/>
      <c r="W82" s="90"/>
      <c r="AC82" s="90"/>
      <c r="AD82" s="90"/>
      <c r="AE82" s="90"/>
      <c r="AJ82" s="90"/>
      <c r="AK82" s="90"/>
      <c r="AM82" s="90"/>
      <c r="AN82" s="90"/>
      <c r="AO82" s="90"/>
      <c r="AP82" s="90"/>
      <c r="AQ82" s="90"/>
    </row>
    <row r="83" spans="1:43">
      <c r="A83" s="104"/>
      <c r="B83" s="90"/>
      <c r="C83" s="90"/>
      <c r="D83" s="90"/>
      <c r="E83" s="90"/>
      <c r="F83" s="90"/>
      <c r="G83" s="90"/>
      <c r="H83" s="190"/>
      <c r="J83" s="90"/>
      <c r="M83" s="90"/>
      <c r="N83" s="90"/>
      <c r="O83" s="90"/>
      <c r="P83" s="90"/>
      <c r="Q83" s="113"/>
      <c r="R83" s="90"/>
      <c r="W83" s="90"/>
      <c r="AC83" s="90"/>
      <c r="AD83" s="90"/>
      <c r="AE83" s="90"/>
      <c r="AJ83" s="90"/>
      <c r="AK83" s="90"/>
      <c r="AM83" s="90"/>
      <c r="AN83" s="90"/>
      <c r="AO83" s="90"/>
      <c r="AP83" s="90"/>
      <c r="AQ83" s="90"/>
    </row>
    <row r="84" spans="1:43">
      <c r="A84" s="104"/>
      <c r="B84" s="90"/>
      <c r="C84" s="90"/>
      <c r="D84" s="90"/>
      <c r="E84" s="90"/>
      <c r="F84" s="90"/>
      <c r="G84" s="90"/>
      <c r="H84" s="190"/>
      <c r="J84" s="90"/>
      <c r="M84" s="90"/>
      <c r="N84" s="90"/>
      <c r="O84" s="90"/>
      <c r="P84" s="90"/>
      <c r="Q84" s="113"/>
      <c r="R84" s="90"/>
      <c r="W84" s="90"/>
      <c r="AC84" s="90"/>
      <c r="AD84" s="90"/>
      <c r="AE84" s="90"/>
      <c r="AJ84" s="90"/>
      <c r="AK84" s="90"/>
      <c r="AM84" s="90"/>
      <c r="AN84" s="90"/>
      <c r="AO84" s="90"/>
      <c r="AP84" s="90"/>
      <c r="AQ84" s="90"/>
    </row>
    <row r="85" spans="1:43">
      <c r="A85" s="104"/>
      <c r="B85" s="90"/>
      <c r="C85" s="90"/>
      <c r="D85" s="90"/>
      <c r="E85" s="90"/>
      <c r="F85" s="90"/>
      <c r="G85" s="90"/>
      <c r="H85" s="190"/>
      <c r="J85" s="90"/>
      <c r="M85" s="90"/>
      <c r="N85" s="90"/>
      <c r="O85" s="90"/>
      <c r="P85" s="90"/>
      <c r="Q85" s="113"/>
      <c r="R85" s="90"/>
      <c r="W85" s="90"/>
      <c r="AC85" s="90"/>
      <c r="AD85" s="90"/>
      <c r="AE85" s="90"/>
      <c r="AJ85" s="90"/>
      <c r="AK85" s="90"/>
      <c r="AM85" s="90"/>
      <c r="AN85" s="90"/>
      <c r="AO85" s="90"/>
      <c r="AP85" s="90"/>
      <c r="AQ85" s="90"/>
    </row>
    <row r="86" spans="1:43">
      <c r="A86" s="104"/>
      <c r="B86" s="90"/>
      <c r="C86" s="90"/>
      <c r="D86" s="90"/>
      <c r="E86" s="90"/>
      <c r="F86" s="90"/>
      <c r="G86" s="90"/>
      <c r="H86" s="190"/>
      <c r="J86" s="90"/>
      <c r="M86" s="90"/>
      <c r="N86" s="90"/>
      <c r="O86" s="90"/>
      <c r="P86" s="90"/>
      <c r="Q86" s="113"/>
      <c r="R86" s="90"/>
      <c r="W86" s="90"/>
      <c r="AC86" s="90"/>
      <c r="AD86" s="90"/>
      <c r="AE86" s="90"/>
      <c r="AJ86" s="90"/>
      <c r="AK86" s="90"/>
      <c r="AM86" s="90"/>
      <c r="AN86" s="90"/>
      <c r="AO86" s="90"/>
      <c r="AP86" s="90"/>
      <c r="AQ86" s="90"/>
    </row>
    <row r="87" spans="1:43">
      <c r="A87" s="104"/>
      <c r="B87" s="90"/>
      <c r="C87" s="90"/>
      <c r="D87" s="90"/>
      <c r="E87" s="90"/>
      <c r="F87" s="90"/>
      <c r="G87" s="90"/>
      <c r="H87" s="190"/>
      <c r="J87" s="90"/>
      <c r="M87" s="90"/>
      <c r="N87" s="90"/>
      <c r="O87" s="90"/>
      <c r="P87" s="90"/>
      <c r="Q87" s="113"/>
      <c r="R87" s="90"/>
      <c r="W87" s="90"/>
      <c r="AC87" s="90"/>
      <c r="AD87" s="90"/>
      <c r="AE87" s="90"/>
      <c r="AJ87" s="90"/>
      <c r="AK87" s="90"/>
      <c r="AM87" s="90"/>
      <c r="AN87" s="90"/>
      <c r="AO87" s="90"/>
      <c r="AP87" s="90"/>
      <c r="AQ87" s="90"/>
    </row>
    <row r="88" spans="1:43">
      <c r="A88" s="104"/>
      <c r="B88" s="90"/>
      <c r="C88" s="90"/>
      <c r="D88" s="90"/>
      <c r="E88" s="90"/>
      <c r="F88" s="90"/>
      <c r="G88" s="90"/>
      <c r="H88" s="190"/>
      <c r="J88" s="90"/>
      <c r="M88" s="90"/>
      <c r="N88" s="90"/>
      <c r="O88" s="90"/>
      <c r="P88" s="90"/>
      <c r="Q88" s="113"/>
      <c r="R88" s="90"/>
      <c r="W88" s="90"/>
      <c r="AC88" s="90"/>
      <c r="AD88" s="90"/>
      <c r="AE88" s="90"/>
      <c r="AJ88" s="90"/>
      <c r="AK88" s="90"/>
      <c r="AM88" s="90"/>
      <c r="AN88" s="90"/>
      <c r="AO88" s="90"/>
      <c r="AP88" s="90"/>
      <c r="AQ88" s="90"/>
    </row>
    <row r="89" spans="1:43">
      <c r="A89" s="104"/>
      <c r="B89" s="90"/>
      <c r="C89" s="90"/>
      <c r="D89" s="90"/>
      <c r="E89" s="90"/>
      <c r="F89" s="90"/>
      <c r="G89" s="90"/>
      <c r="H89" s="190"/>
      <c r="J89" s="90"/>
      <c r="M89" s="90"/>
      <c r="N89" s="90"/>
      <c r="O89" s="90"/>
      <c r="P89" s="90"/>
      <c r="Q89" s="113"/>
      <c r="R89" s="90"/>
      <c r="W89" s="90"/>
      <c r="AC89" s="90"/>
      <c r="AD89" s="90"/>
      <c r="AE89" s="90"/>
      <c r="AJ89" s="90"/>
      <c r="AK89" s="90"/>
      <c r="AM89" s="90"/>
      <c r="AN89" s="90"/>
      <c r="AO89" s="90"/>
      <c r="AP89" s="90"/>
      <c r="AQ89" s="90"/>
    </row>
    <row r="90" spans="1:43">
      <c r="A90" s="104"/>
      <c r="B90" s="90"/>
      <c r="C90" s="90"/>
      <c r="D90" s="90"/>
      <c r="E90" s="90"/>
      <c r="F90" s="90"/>
      <c r="G90" s="90"/>
      <c r="H90" s="190"/>
      <c r="J90" s="90"/>
      <c r="M90" s="90"/>
      <c r="N90" s="90"/>
      <c r="O90" s="90"/>
      <c r="P90" s="90"/>
      <c r="Q90" s="113"/>
      <c r="R90" s="90"/>
      <c r="W90" s="90"/>
      <c r="AC90" s="90"/>
      <c r="AD90" s="90"/>
      <c r="AE90" s="90"/>
      <c r="AJ90" s="90"/>
      <c r="AK90" s="90"/>
      <c r="AM90" s="90"/>
      <c r="AN90" s="90"/>
      <c r="AO90" s="90"/>
      <c r="AP90" s="90"/>
      <c r="AQ90" s="90"/>
    </row>
    <row r="91" spans="1:43">
      <c r="A91" s="104"/>
      <c r="B91" s="90"/>
      <c r="C91" s="90"/>
      <c r="D91" s="90"/>
      <c r="E91" s="90"/>
      <c r="F91" s="90"/>
      <c r="G91" s="90"/>
      <c r="H91" s="190"/>
      <c r="J91" s="90"/>
      <c r="M91" s="90"/>
      <c r="N91" s="90"/>
      <c r="O91" s="90"/>
      <c r="P91" s="90"/>
      <c r="Q91" s="113"/>
      <c r="R91" s="90"/>
      <c r="W91" s="90"/>
      <c r="AC91" s="90"/>
      <c r="AD91" s="90"/>
      <c r="AE91" s="90"/>
      <c r="AJ91" s="90"/>
      <c r="AK91" s="90"/>
      <c r="AM91" s="90"/>
      <c r="AN91" s="90"/>
      <c r="AO91" s="90"/>
      <c r="AP91" s="90"/>
      <c r="AQ91" s="90"/>
    </row>
    <row r="92" spans="1:43">
      <c r="A92" s="104"/>
      <c r="B92" s="90"/>
      <c r="C92" s="90"/>
      <c r="D92" s="90"/>
      <c r="E92" s="90"/>
      <c r="F92" s="90"/>
      <c r="G92" s="90"/>
      <c r="H92" s="190"/>
      <c r="J92" s="90"/>
      <c r="M92" s="90"/>
      <c r="N92" s="90"/>
      <c r="O92" s="90"/>
      <c r="P92" s="90"/>
      <c r="Q92" s="113"/>
      <c r="R92" s="90"/>
      <c r="W92" s="90"/>
      <c r="AC92" s="90"/>
      <c r="AD92" s="90"/>
      <c r="AE92" s="90"/>
      <c r="AJ92" s="90"/>
      <c r="AK92" s="90"/>
      <c r="AM92" s="90"/>
      <c r="AN92" s="90"/>
      <c r="AO92" s="90"/>
      <c r="AP92" s="90"/>
      <c r="AQ92" s="90"/>
    </row>
    <row r="93" spans="1:43">
      <c r="A93" s="104"/>
      <c r="B93" s="90"/>
      <c r="C93" s="90"/>
      <c r="D93" s="90"/>
      <c r="E93" s="90"/>
      <c r="F93" s="90"/>
      <c r="G93" s="90"/>
      <c r="H93" s="190"/>
      <c r="J93" s="90"/>
      <c r="M93" s="90"/>
      <c r="N93" s="90"/>
      <c r="O93" s="90"/>
      <c r="P93" s="90"/>
      <c r="Q93" s="113"/>
      <c r="R93" s="90"/>
      <c r="W93" s="90"/>
      <c r="AC93" s="90"/>
      <c r="AD93" s="90"/>
      <c r="AE93" s="90"/>
      <c r="AJ93" s="90"/>
      <c r="AK93" s="90"/>
      <c r="AM93" s="90"/>
      <c r="AN93" s="90"/>
      <c r="AO93" s="90"/>
      <c r="AP93" s="90"/>
      <c r="AQ93" s="90"/>
    </row>
    <row r="94" spans="1:43">
      <c r="A94" s="104"/>
      <c r="B94" s="90"/>
      <c r="C94" s="90"/>
      <c r="D94" s="90"/>
      <c r="E94" s="90"/>
      <c r="F94" s="90"/>
      <c r="G94" s="90"/>
      <c r="H94" s="190"/>
      <c r="J94" s="90"/>
      <c r="M94" s="90"/>
      <c r="N94" s="90"/>
      <c r="O94" s="90"/>
      <c r="P94" s="90"/>
      <c r="Q94" s="113"/>
      <c r="R94" s="90"/>
      <c r="W94" s="90"/>
      <c r="AC94" s="90"/>
      <c r="AD94" s="90"/>
      <c r="AE94" s="90"/>
      <c r="AJ94" s="90"/>
      <c r="AK94" s="90"/>
      <c r="AM94" s="90"/>
      <c r="AN94" s="90"/>
      <c r="AO94" s="90"/>
      <c r="AP94" s="90"/>
      <c r="AQ94" s="90"/>
    </row>
    <row r="95" spans="1:43">
      <c r="A95" s="104"/>
      <c r="B95" s="90"/>
      <c r="C95" s="90"/>
      <c r="D95" s="90"/>
      <c r="E95" s="90"/>
      <c r="F95" s="90"/>
      <c r="G95" s="90"/>
      <c r="H95" s="190"/>
      <c r="J95" s="90"/>
      <c r="M95" s="90"/>
      <c r="N95" s="90"/>
      <c r="O95" s="90"/>
      <c r="P95" s="90"/>
      <c r="Q95" s="113"/>
      <c r="R95" s="90"/>
      <c r="W95" s="90"/>
      <c r="AC95" s="90"/>
      <c r="AD95" s="90"/>
      <c r="AE95" s="90"/>
      <c r="AJ95" s="90"/>
      <c r="AK95" s="90"/>
      <c r="AM95" s="90"/>
      <c r="AN95" s="90"/>
      <c r="AO95" s="90"/>
      <c r="AP95" s="90"/>
      <c r="AQ95" s="90"/>
    </row>
    <row r="96" spans="1:43">
      <c r="A96" s="104"/>
      <c r="B96" s="90"/>
      <c r="C96" s="90"/>
      <c r="D96" s="90"/>
      <c r="E96" s="90"/>
      <c r="F96" s="90"/>
      <c r="G96" s="90"/>
      <c r="H96" s="190"/>
      <c r="J96" s="90"/>
      <c r="M96" s="90"/>
      <c r="N96" s="90"/>
      <c r="O96" s="90"/>
      <c r="P96" s="90"/>
      <c r="Q96" s="113"/>
      <c r="R96" s="90"/>
      <c r="W96" s="90"/>
      <c r="AC96" s="90"/>
      <c r="AD96" s="90"/>
      <c r="AE96" s="90"/>
      <c r="AJ96" s="90"/>
      <c r="AK96" s="90"/>
      <c r="AM96" s="90"/>
      <c r="AN96" s="90"/>
      <c r="AO96" s="90"/>
      <c r="AP96" s="90"/>
      <c r="AQ96" s="90"/>
    </row>
  </sheetData>
  <autoFilter ref="A3:BD3">
    <sortState ref="A4:BD19">
      <sortCondition ref="A3"/>
    </sortState>
  </autoFilter>
  <sortState ref="A3:BD48">
    <sortCondition ref="A3:A48"/>
  </sortState>
  <mergeCells count="2">
    <mergeCell ref="B1:AF1"/>
    <mergeCell ref="AJ1:AQ1"/>
  </mergeCells>
  <conditionalFormatting sqref="C4:BH19">
    <cfRule type="cellIs" dxfId="2" priority="1" operator="equal">
      <formula>"nc"</formula>
    </cfRule>
  </conditionalFormatting>
  <pageMargins left="0.25" right="0.25" top="0.75" bottom="0.75" header="0.3" footer="0.3"/>
  <pageSetup paperSize="9" scale="1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rgb="FF94B8EA"/>
  </sheetPr>
  <dimension ref="A1:AU30"/>
  <sheetViews>
    <sheetView zoomScale="80" zoomScaleNormal="80" workbookViewId="0">
      <pane xSplit="1" ySplit="2" topLeftCell="B15" activePane="bottomRight" state="frozen"/>
      <selection pane="topRight" activeCell="B1" sqref="B1"/>
      <selection pane="bottomLeft" activeCell="A2" sqref="A2"/>
      <selection pane="bottomRight" activeCell="D18" sqref="D18"/>
    </sheetView>
  </sheetViews>
  <sheetFormatPr baseColWidth="10" defaultRowHeight="16.5"/>
  <cols>
    <col min="1" max="1" width="23.42578125" style="434" bestFit="1" customWidth="1"/>
    <col min="2" max="2" width="30.28515625" style="156" customWidth="1"/>
    <col min="3" max="4" width="17.140625" style="156" customWidth="1"/>
    <col min="5" max="5" width="16.28515625" style="155" customWidth="1"/>
    <col min="6" max="9" width="16.28515625" style="156" customWidth="1"/>
    <col min="10" max="10" width="45" style="156" customWidth="1"/>
    <col min="11" max="12" width="17" style="156" customWidth="1"/>
    <col min="13" max="13" width="11.42578125" style="156" customWidth="1"/>
    <col min="14" max="14" width="12.28515625" style="155" customWidth="1"/>
    <col min="15" max="15" width="11.42578125" style="155" customWidth="1"/>
    <col min="16" max="16" width="13.85546875" style="185" customWidth="1"/>
    <col min="17" max="17" width="17.5703125" style="180" customWidth="1"/>
    <col min="18" max="19" width="16.140625" style="180" customWidth="1"/>
    <col min="20" max="20" width="11.42578125" style="155" customWidth="1"/>
    <col min="21" max="22" width="18.140625" style="155" customWidth="1"/>
    <col min="23" max="23" width="40.5703125" style="156" customWidth="1"/>
    <col min="24" max="24" width="11.42578125" style="155" customWidth="1"/>
    <col min="25" max="28" width="18.42578125" style="156" customWidth="1"/>
    <col min="29" max="29" width="34.42578125" style="156" customWidth="1"/>
    <col min="30" max="30" width="26.140625" style="156" customWidth="1"/>
    <col min="31" max="31" width="34.42578125" style="156" customWidth="1"/>
    <col min="32" max="33" width="18.7109375" style="156" customWidth="1"/>
    <col min="34" max="35" width="14.28515625" style="156" customWidth="1"/>
    <col min="36" max="16384" width="11.42578125" style="156"/>
  </cols>
  <sheetData>
    <row r="1" spans="1:47">
      <c r="A1" s="433">
        <v>1</v>
      </c>
      <c r="B1" s="155">
        <v>2</v>
      </c>
      <c r="C1" s="155">
        <v>3</v>
      </c>
      <c r="D1" s="155">
        <v>4</v>
      </c>
      <c r="E1" s="155">
        <v>5</v>
      </c>
      <c r="F1" s="155">
        <v>6</v>
      </c>
      <c r="G1" s="155">
        <v>7</v>
      </c>
      <c r="H1" s="155">
        <v>8</v>
      </c>
      <c r="I1" s="155">
        <v>9</v>
      </c>
      <c r="J1" s="155">
        <v>10</v>
      </c>
      <c r="K1" s="155">
        <v>11</v>
      </c>
      <c r="L1" s="155">
        <v>12</v>
      </c>
      <c r="M1" s="155">
        <v>13</v>
      </c>
      <c r="N1" s="155">
        <v>14</v>
      </c>
      <c r="O1" s="155">
        <v>15</v>
      </c>
      <c r="P1" s="155">
        <v>16</v>
      </c>
      <c r="Q1" s="155">
        <v>17</v>
      </c>
      <c r="R1" s="155">
        <v>18</v>
      </c>
      <c r="S1" s="155">
        <v>19</v>
      </c>
      <c r="T1" s="155">
        <v>20</v>
      </c>
      <c r="U1" s="155">
        <v>21</v>
      </c>
      <c r="V1" s="155">
        <v>22</v>
      </c>
      <c r="W1" s="155">
        <v>23</v>
      </c>
      <c r="X1" s="155">
        <v>24</v>
      </c>
      <c r="Y1" s="155">
        <v>25</v>
      </c>
      <c r="Z1" s="155">
        <v>26</v>
      </c>
      <c r="AA1" s="155">
        <v>27</v>
      </c>
      <c r="AB1" s="155">
        <v>28</v>
      </c>
      <c r="AC1" s="155">
        <v>29</v>
      </c>
      <c r="AD1" s="155">
        <v>30</v>
      </c>
      <c r="AE1" s="155">
        <v>31</v>
      </c>
      <c r="AF1" s="155">
        <v>32</v>
      </c>
      <c r="AG1" s="155">
        <v>33</v>
      </c>
      <c r="AH1" s="155">
        <v>34</v>
      </c>
      <c r="AI1" s="155">
        <v>35</v>
      </c>
    </row>
    <row r="2" spans="1:47" s="157" customFormat="1" ht="54">
      <c r="A2" s="377" t="s">
        <v>4</v>
      </c>
      <c r="B2" s="377" t="s">
        <v>67</v>
      </c>
      <c r="C2" s="377" t="s">
        <v>35</v>
      </c>
      <c r="D2" s="377" t="s">
        <v>174</v>
      </c>
      <c r="E2" s="377" t="s">
        <v>68</v>
      </c>
      <c r="F2" s="377" t="s">
        <v>163</v>
      </c>
      <c r="G2" s="377" t="s">
        <v>164</v>
      </c>
      <c r="H2" s="377" t="s">
        <v>3</v>
      </c>
      <c r="I2" s="377" t="s">
        <v>165</v>
      </c>
      <c r="J2" s="377" t="s">
        <v>133</v>
      </c>
      <c r="K2" s="377" t="s">
        <v>134</v>
      </c>
      <c r="L2" s="377" t="s">
        <v>132</v>
      </c>
      <c r="M2" s="132" t="s">
        <v>79</v>
      </c>
      <c r="N2" s="132" t="s">
        <v>69</v>
      </c>
      <c r="O2" s="132" t="s">
        <v>70</v>
      </c>
      <c r="P2" s="186" t="s">
        <v>71</v>
      </c>
      <c r="Q2" s="133" t="s">
        <v>72</v>
      </c>
      <c r="R2" s="133" t="s">
        <v>157</v>
      </c>
      <c r="S2" s="133" t="s">
        <v>158</v>
      </c>
      <c r="T2" s="132" t="s">
        <v>73</v>
      </c>
      <c r="U2" s="132" t="s">
        <v>74</v>
      </c>
      <c r="V2" s="181" t="s">
        <v>162</v>
      </c>
      <c r="W2" s="377" t="s">
        <v>80</v>
      </c>
      <c r="X2" s="377" t="s">
        <v>81</v>
      </c>
      <c r="Y2" s="377" t="s">
        <v>82</v>
      </c>
      <c r="Z2" s="377" t="s">
        <v>65</v>
      </c>
      <c r="AA2" s="377" t="s">
        <v>123</v>
      </c>
      <c r="AB2" s="377" t="s">
        <v>160</v>
      </c>
      <c r="AC2" s="377" t="s">
        <v>292</v>
      </c>
      <c r="AD2" s="377" t="s">
        <v>293</v>
      </c>
      <c r="AE2" s="377" t="s">
        <v>323</v>
      </c>
      <c r="AF2" s="341" t="s">
        <v>326</v>
      </c>
      <c r="AG2" s="341" t="s">
        <v>327</v>
      </c>
      <c r="AH2" s="341" t="s">
        <v>661</v>
      </c>
      <c r="AI2" s="341" t="s">
        <v>662</v>
      </c>
    </row>
    <row r="3" spans="1:47" s="89" customFormat="1" ht="128.25">
      <c r="A3" s="377" t="str">
        <f>+Liste_services!A4</f>
        <v>Beausoleil</v>
      </c>
      <c r="B3" s="233" t="s">
        <v>4</v>
      </c>
      <c r="C3" s="233" t="s">
        <v>311</v>
      </c>
      <c r="D3" s="234" t="s">
        <v>389</v>
      </c>
      <c r="E3" s="239">
        <v>45046</v>
      </c>
      <c r="F3" s="416" t="s">
        <v>414</v>
      </c>
      <c r="G3" s="241" t="s">
        <v>415</v>
      </c>
      <c r="H3" s="241">
        <v>2443</v>
      </c>
      <c r="I3" s="412">
        <v>0.9</v>
      </c>
      <c r="J3" s="236" t="s">
        <v>416</v>
      </c>
      <c r="K3" s="236" t="s">
        <v>417</v>
      </c>
      <c r="L3" s="236" t="s">
        <v>685</v>
      </c>
      <c r="M3" s="243">
        <v>2016</v>
      </c>
      <c r="N3" s="265">
        <v>45.18</v>
      </c>
      <c r="O3" s="417">
        <v>0.94340000000000002</v>
      </c>
      <c r="P3" s="287">
        <v>0</v>
      </c>
      <c r="Q3" s="288">
        <v>0</v>
      </c>
      <c r="R3" s="288"/>
      <c r="S3" s="288"/>
      <c r="T3" s="342">
        <f t="shared" ref="T3:T18" si="0">AF3+AG3</f>
        <v>0.31269999999999998</v>
      </c>
      <c r="U3" s="266"/>
      <c r="V3" s="183">
        <f>+(120*(O3+Q3+R3+S3+T3)+P3+N3)*1.055/120</f>
        <v>1.7223930000000001</v>
      </c>
      <c r="W3" s="235" t="s">
        <v>279</v>
      </c>
      <c r="X3" s="236">
        <v>2</v>
      </c>
      <c r="Y3" s="233">
        <v>1</v>
      </c>
      <c r="Z3" s="248">
        <v>1.8E-3</v>
      </c>
      <c r="AA3" s="233" t="s">
        <v>280</v>
      </c>
      <c r="AB3" s="406">
        <v>5.5E-2</v>
      </c>
      <c r="AC3" s="316" t="s">
        <v>418</v>
      </c>
      <c r="AD3" s="338" t="s">
        <v>694</v>
      </c>
      <c r="AE3" s="339" t="s">
        <v>419</v>
      </c>
      <c r="AF3" s="339">
        <v>2.2700000000000001E-2</v>
      </c>
      <c r="AG3" s="496">
        <v>0.28999999999999998</v>
      </c>
      <c r="AH3" s="497">
        <v>5.5E-2</v>
      </c>
      <c r="AI3" s="498">
        <f>+((120*(O3+Q3+R3+S3+T3)+P3+N3)*AH3)/120</f>
        <v>8.9792999999999998E-2</v>
      </c>
      <c r="AJ3" s="157"/>
      <c r="AK3" s="157"/>
      <c r="AL3" s="157"/>
      <c r="AM3" s="157"/>
      <c r="AN3" s="157"/>
      <c r="AO3" s="157"/>
      <c r="AP3" s="157"/>
      <c r="AQ3" s="157"/>
      <c r="AR3" s="157"/>
      <c r="AS3" s="157"/>
      <c r="AT3" s="157"/>
      <c r="AU3" s="157"/>
    </row>
    <row r="4" spans="1:47" s="89" customFormat="1" ht="108">
      <c r="A4" s="377" t="str">
        <f>+Liste_services!A12</f>
        <v>Breil</v>
      </c>
      <c r="B4" s="233" t="s">
        <v>4</v>
      </c>
      <c r="C4" s="233" t="s">
        <v>151</v>
      </c>
      <c r="D4" s="234" t="s">
        <v>279</v>
      </c>
      <c r="E4" s="233" t="s">
        <v>279</v>
      </c>
      <c r="F4" s="234" t="s">
        <v>279</v>
      </c>
      <c r="G4" s="234" t="s">
        <v>279</v>
      </c>
      <c r="H4" s="258">
        <v>0</v>
      </c>
      <c r="I4" s="258" t="s">
        <v>279</v>
      </c>
      <c r="J4" s="236" t="s">
        <v>40</v>
      </c>
      <c r="K4" s="236" t="s">
        <v>453</v>
      </c>
      <c r="L4" s="236" t="s">
        <v>722</v>
      </c>
      <c r="M4" s="235">
        <v>2017</v>
      </c>
      <c r="N4" s="236">
        <v>0</v>
      </c>
      <c r="O4" s="236">
        <v>0</v>
      </c>
      <c r="P4" s="244">
        <f>24.5+28.35</f>
        <v>52.85</v>
      </c>
      <c r="Q4" s="260">
        <v>0</v>
      </c>
      <c r="R4" s="260"/>
      <c r="S4" s="260"/>
      <c r="T4" s="342">
        <f t="shared" si="0"/>
        <v>0.14155000000000001</v>
      </c>
      <c r="U4" s="263"/>
      <c r="V4" s="187">
        <f>+(120*(O4+Q4+R4+S4+T4)+P4+N4)*1.055/120</f>
        <v>0.61397483333333336</v>
      </c>
      <c r="W4" s="235" t="s">
        <v>778</v>
      </c>
      <c r="X4" s="236">
        <v>2</v>
      </c>
      <c r="Y4" s="233" t="s">
        <v>449</v>
      </c>
      <c r="Z4" s="248" t="s">
        <v>280</v>
      </c>
      <c r="AA4" s="233" t="s">
        <v>280</v>
      </c>
      <c r="AB4" s="406">
        <v>5.5E-2</v>
      </c>
      <c r="AC4" s="316" t="s">
        <v>721</v>
      </c>
      <c r="AD4" s="338" t="s">
        <v>694</v>
      </c>
      <c r="AE4" s="339" t="s">
        <v>454</v>
      </c>
      <c r="AF4" s="339">
        <v>5.0299999999999997E-2</v>
      </c>
      <c r="AG4" s="496">
        <f>(5.08+5.87)/120</f>
        <v>9.1249999999999998E-2</v>
      </c>
      <c r="AH4" s="497">
        <v>5.5E-2</v>
      </c>
      <c r="AI4" s="498">
        <f t="shared" ref="AI4:AI18" si="1">+((120*(O4+Q4+R4+S4+T4)+P4+N4)*AH4)/120</f>
        <v>3.2008166666666664E-2</v>
      </c>
      <c r="AJ4" s="157"/>
      <c r="AK4" s="157"/>
      <c r="AL4" s="157"/>
      <c r="AM4" s="157"/>
      <c r="AN4" s="157"/>
      <c r="AO4" s="157"/>
      <c r="AP4" s="157"/>
      <c r="AQ4" s="157"/>
      <c r="AR4" s="157"/>
      <c r="AS4" s="157"/>
      <c r="AT4" s="157"/>
      <c r="AU4" s="157"/>
    </row>
    <row r="5" spans="1:47" s="89" customFormat="1" ht="27">
      <c r="A5" s="377" t="str">
        <f>+Liste_services!A6</f>
        <v>Castellar</v>
      </c>
      <c r="B5" s="233" t="s">
        <v>42</v>
      </c>
      <c r="C5" s="233" t="s">
        <v>151</v>
      </c>
      <c r="D5" s="234" t="s">
        <v>279</v>
      </c>
      <c r="E5" s="233" t="s">
        <v>279</v>
      </c>
      <c r="F5" s="234" t="s">
        <v>279</v>
      </c>
      <c r="G5" s="234" t="s">
        <v>279</v>
      </c>
      <c r="H5" s="258">
        <v>0</v>
      </c>
      <c r="I5" s="258" t="s">
        <v>279</v>
      </c>
      <c r="J5" s="236" t="s">
        <v>467</v>
      </c>
      <c r="K5" s="236" t="s">
        <v>466</v>
      </c>
      <c r="L5" s="236" t="s">
        <v>40</v>
      </c>
      <c r="M5" s="235">
        <v>2017</v>
      </c>
      <c r="N5" s="236">
        <v>0</v>
      </c>
      <c r="O5" s="236">
        <v>0</v>
      </c>
      <c r="P5" s="244">
        <v>80.650000000000006</v>
      </c>
      <c r="Q5" s="260">
        <v>1.0237499999999999</v>
      </c>
      <c r="R5" s="260"/>
      <c r="S5" s="260"/>
      <c r="T5" s="342">
        <f t="shared" si="0"/>
        <v>0.28999999999999998</v>
      </c>
      <c r="U5" s="263"/>
      <c r="V5" s="182">
        <f>+(120*(O5+Q5+R5+S5+T5)+P5+N5)/120</f>
        <v>1.9858333333333333</v>
      </c>
      <c r="W5" s="233" t="s">
        <v>468</v>
      </c>
      <c r="X5" s="236">
        <v>1</v>
      </c>
      <c r="Y5" s="233">
        <v>1</v>
      </c>
      <c r="Z5" s="248" t="s">
        <v>280</v>
      </c>
      <c r="AA5" s="233" t="s">
        <v>280</v>
      </c>
      <c r="AB5" s="406">
        <v>0</v>
      </c>
      <c r="AC5" s="316" t="s">
        <v>469</v>
      </c>
      <c r="AD5" s="338" t="s">
        <v>694</v>
      </c>
      <c r="AE5" s="339" t="s">
        <v>454</v>
      </c>
      <c r="AF5" s="339">
        <v>0</v>
      </c>
      <c r="AG5" s="496">
        <v>0.28999999999999998</v>
      </c>
      <c r="AH5" s="497">
        <v>0</v>
      </c>
      <c r="AI5" s="498">
        <f t="shared" si="1"/>
        <v>0</v>
      </c>
      <c r="AJ5" s="157"/>
      <c r="AK5" s="157"/>
      <c r="AL5" s="157"/>
      <c r="AM5" s="157"/>
      <c r="AN5" s="157"/>
      <c r="AO5" s="157"/>
      <c r="AP5" s="157"/>
      <c r="AQ5" s="157"/>
      <c r="AR5" s="157"/>
      <c r="AS5" s="157"/>
      <c r="AT5" s="157"/>
      <c r="AU5" s="157"/>
    </row>
    <row r="6" spans="1:47" s="89" customFormat="1" ht="42.75">
      <c r="A6" s="377" t="str">
        <f>+Liste_services!A9</f>
        <v>Castillon</v>
      </c>
      <c r="B6" s="233" t="s">
        <v>4</v>
      </c>
      <c r="C6" s="233" t="s">
        <v>151</v>
      </c>
      <c r="D6" s="234" t="s">
        <v>279</v>
      </c>
      <c r="E6" s="233" t="s">
        <v>279</v>
      </c>
      <c r="F6" s="234" t="s">
        <v>279</v>
      </c>
      <c r="G6" s="234" t="s">
        <v>279</v>
      </c>
      <c r="H6" s="258">
        <v>264</v>
      </c>
      <c r="I6" s="258" t="s">
        <v>279</v>
      </c>
      <c r="J6" s="236" t="s">
        <v>40</v>
      </c>
      <c r="K6" s="236" t="s">
        <v>486</v>
      </c>
      <c r="L6" s="236" t="s">
        <v>836</v>
      </c>
      <c r="M6" s="235">
        <v>2017</v>
      </c>
      <c r="N6" s="236">
        <v>39.03</v>
      </c>
      <c r="O6" s="236">
        <v>0.83</v>
      </c>
      <c r="P6" s="244">
        <v>0</v>
      </c>
      <c r="Q6" s="260">
        <v>0.27</v>
      </c>
      <c r="R6" s="260"/>
      <c r="S6" s="260"/>
      <c r="T6" s="342">
        <f t="shared" si="0"/>
        <v>0.33499999999999996</v>
      </c>
      <c r="U6" s="263"/>
      <c r="V6" s="182">
        <f>+(120*(O6+Q6+R6+S6+T6)+P6+N6)*1.055/120</f>
        <v>1.8570637500000002</v>
      </c>
      <c r="W6" s="233" t="s">
        <v>752</v>
      </c>
      <c r="X6" s="236">
        <v>2</v>
      </c>
      <c r="Y6" s="233">
        <v>2</v>
      </c>
      <c r="Z6" s="248" t="s">
        <v>835</v>
      </c>
      <c r="AA6" s="233" t="s">
        <v>41</v>
      </c>
      <c r="AB6" s="406">
        <v>5.5E-2</v>
      </c>
      <c r="AC6" s="316" t="s">
        <v>487</v>
      </c>
      <c r="AD6" s="338" t="s">
        <v>694</v>
      </c>
      <c r="AE6" s="339" t="s">
        <v>454</v>
      </c>
      <c r="AF6" s="339">
        <v>4.4999999999999998E-2</v>
      </c>
      <c r="AG6" s="496">
        <v>0.28999999999999998</v>
      </c>
      <c r="AH6" s="497">
        <v>5.5E-2</v>
      </c>
      <c r="AI6" s="498">
        <f t="shared" si="1"/>
        <v>9.6813750000000004E-2</v>
      </c>
      <c r="AJ6" s="157"/>
      <c r="AK6" s="157"/>
      <c r="AL6" s="157"/>
      <c r="AM6" s="157"/>
      <c r="AN6" s="157"/>
      <c r="AO6" s="157"/>
      <c r="AP6" s="157"/>
      <c r="AQ6" s="157"/>
      <c r="AR6" s="157"/>
      <c r="AS6" s="157"/>
      <c r="AT6" s="157"/>
      <c r="AU6" s="157"/>
    </row>
    <row r="7" spans="1:47" s="89" customFormat="1" ht="81">
      <c r="A7" s="377" t="str">
        <f>+Liste_services!A15</f>
        <v>Fontan</v>
      </c>
      <c r="B7" s="233" t="s">
        <v>4</v>
      </c>
      <c r="C7" s="233" t="s">
        <v>151</v>
      </c>
      <c r="D7" s="234" t="s">
        <v>279</v>
      </c>
      <c r="E7" s="233" t="s">
        <v>279</v>
      </c>
      <c r="F7" s="234" t="s">
        <v>279</v>
      </c>
      <c r="G7" s="234" t="s">
        <v>279</v>
      </c>
      <c r="H7" s="258">
        <v>264</v>
      </c>
      <c r="I7" s="258" t="s">
        <v>279</v>
      </c>
      <c r="J7" s="236" t="s">
        <v>40</v>
      </c>
      <c r="K7" s="236" t="s">
        <v>394</v>
      </c>
      <c r="L7" s="236" t="s">
        <v>40</v>
      </c>
      <c r="M7" s="235">
        <v>2017</v>
      </c>
      <c r="N7" s="236">
        <v>0</v>
      </c>
      <c r="O7" s="236">
        <v>0</v>
      </c>
      <c r="P7" s="244">
        <f>42+108</f>
        <v>150</v>
      </c>
      <c r="Q7" s="260">
        <v>0</v>
      </c>
      <c r="R7" s="260"/>
      <c r="S7" s="260"/>
      <c r="T7" s="342">
        <f t="shared" si="0"/>
        <v>0.28999999999999998</v>
      </c>
      <c r="U7" s="263"/>
      <c r="V7" s="182">
        <f>+(120*(O7+Q7+R7+S7+T7)+P7+N7)/120</f>
        <v>1.54</v>
      </c>
      <c r="W7" s="233" t="s">
        <v>40</v>
      </c>
      <c r="X7" s="236">
        <v>1</v>
      </c>
      <c r="Y7" s="233" t="s">
        <v>449</v>
      </c>
      <c r="Z7" s="248" t="s">
        <v>280</v>
      </c>
      <c r="AA7" s="233" t="s">
        <v>280</v>
      </c>
      <c r="AB7" s="406">
        <v>0</v>
      </c>
      <c r="AC7" s="316" t="s">
        <v>501</v>
      </c>
      <c r="AD7" s="338" t="s">
        <v>694</v>
      </c>
      <c r="AE7" s="339" t="s">
        <v>454</v>
      </c>
      <c r="AF7" s="339"/>
      <c r="AG7" s="496">
        <v>0.28999999999999998</v>
      </c>
      <c r="AH7" s="497">
        <v>0</v>
      </c>
      <c r="AI7" s="498">
        <f t="shared" si="1"/>
        <v>0</v>
      </c>
      <c r="AJ7" s="157"/>
      <c r="AK7" s="157"/>
      <c r="AL7" s="157"/>
      <c r="AM7" s="157"/>
      <c r="AN7" s="157"/>
      <c r="AO7" s="157"/>
      <c r="AP7" s="157"/>
      <c r="AQ7" s="157"/>
      <c r="AR7" s="157"/>
      <c r="AS7" s="157"/>
      <c r="AT7" s="157"/>
      <c r="AU7" s="157"/>
    </row>
    <row r="8" spans="1:47" s="89" customFormat="1" ht="14.25">
      <c r="A8" s="377" t="str">
        <f>+Liste_services!A5</f>
        <v>Gorbio</v>
      </c>
      <c r="B8" s="233"/>
      <c r="C8" s="233"/>
      <c r="D8" s="234"/>
      <c r="E8" s="245"/>
      <c r="F8" s="240"/>
      <c r="G8" s="240"/>
      <c r="H8" s="258"/>
      <c r="I8" s="240"/>
      <c r="J8" s="242"/>
      <c r="K8" s="242"/>
      <c r="L8" s="259"/>
      <c r="M8" s="235"/>
      <c r="N8" s="236"/>
      <c r="O8" s="233"/>
      <c r="P8" s="238"/>
      <c r="Q8" s="260"/>
      <c r="R8" s="260"/>
      <c r="S8" s="260"/>
      <c r="T8" s="342">
        <f t="shared" si="0"/>
        <v>0</v>
      </c>
      <c r="U8" s="263"/>
      <c r="V8" s="182">
        <f>+(120*(O8+Q8+R8+S8+T8)+P8+N8)*1.055/120</f>
        <v>0</v>
      </c>
      <c r="W8" s="233"/>
      <c r="X8" s="233">
        <v>2</v>
      </c>
      <c r="Y8" s="233">
        <v>1</v>
      </c>
      <c r="Z8" s="248"/>
      <c r="AA8" s="233"/>
      <c r="AB8" s="406"/>
      <c r="AC8" s="316"/>
      <c r="AD8" s="338"/>
      <c r="AE8" s="339"/>
      <c r="AF8" s="339"/>
      <c r="AG8" s="496"/>
      <c r="AH8" s="497"/>
      <c r="AI8" s="498">
        <f t="shared" si="1"/>
        <v>0</v>
      </c>
      <c r="AJ8" s="157"/>
      <c r="AK8" s="157"/>
      <c r="AL8" s="157"/>
      <c r="AM8" s="157"/>
      <c r="AN8" s="157"/>
      <c r="AO8" s="157"/>
      <c r="AP8" s="157"/>
      <c r="AQ8" s="157"/>
      <c r="AR8" s="157"/>
      <c r="AS8" s="157"/>
      <c r="AT8" s="157"/>
      <c r="AU8" s="157"/>
    </row>
    <row r="9" spans="1:47" s="89" customFormat="1" ht="67.5">
      <c r="A9" s="377" t="str">
        <f>+Liste_services!A14</f>
        <v>La Brigue</v>
      </c>
      <c r="B9" s="233" t="s">
        <v>4</v>
      </c>
      <c r="C9" s="233" t="s">
        <v>151</v>
      </c>
      <c r="D9" s="234" t="s">
        <v>279</v>
      </c>
      <c r="E9" s="233" t="s">
        <v>279</v>
      </c>
      <c r="F9" s="234" t="s">
        <v>279</v>
      </c>
      <c r="G9" s="234" t="s">
        <v>279</v>
      </c>
      <c r="H9" s="258">
        <v>264</v>
      </c>
      <c r="I9" s="258" t="s">
        <v>279</v>
      </c>
      <c r="J9" s="236" t="s">
        <v>40</v>
      </c>
      <c r="K9" s="236" t="s">
        <v>529</v>
      </c>
      <c r="L9" s="260" t="s">
        <v>40</v>
      </c>
      <c r="M9" s="235">
        <v>2016</v>
      </c>
      <c r="N9" s="235">
        <v>0</v>
      </c>
      <c r="O9" s="235">
        <v>0</v>
      </c>
      <c r="P9" s="235">
        <v>72.7</v>
      </c>
      <c r="Q9" s="235">
        <v>0</v>
      </c>
      <c r="R9" s="235">
        <v>0</v>
      </c>
      <c r="S9" s="235">
        <v>0</v>
      </c>
      <c r="T9" s="342">
        <f t="shared" si="0"/>
        <v>0.24166666666666667</v>
      </c>
      <c r="U9" s="263"/>
      <c r="V9" s="182">
        <f>+(120*(O9+Q9+R9+S9+T9)+P9+N9)/120</f>
        <v>0.84750000000000003</v>
      </c>
      <c r="W9" s="233" t="s">
        <v>530</v>
      </c>
      <c r="X9" s="236">
        <v>1</v>
      </c>
      <c r="Y9" s="233" t="s">
        <v>449</v>
      </c>
      <c r="Z9" s="248" t="s">
        <v>280</v>
      </c>
      <c r="AA9" s="233" t="s">
        <v>280</v>
      </c>
      <c r="AB9" s="406" t="s">
        <v>280</v>
      </c>
      <c r="AC9" s="316" t="s">
        <v>736</v>
      </c>
      <c r="AD9" s="338" t="s">
        <v>694</v>
      </c>
      <c r="AE9" s="339" t="s">
        <v>454</v>
      </c>
      <c r="AF9" s="339"/>
      <c r="AG9" s="519">
        <f>29/120</f>
        <v>0.24166666666666667</v>
      </c>
      <c r="AH9" s="497">
        <v>0</v>
      </c>
      <c r="AI9" s="498">
        <f t="shared" si="1"/>
        <v>0</v>
      </c>
      <c r="AJ9" s="157"/>
      <c r="AK9" s="157"/>
      <c r="AL9" s="157"/>
      <c r="AM9" s="157"/>
      <c r="AN9" s="157"/>
      <c r="AO9" s="157"/>
      <c r="AP9" s="157"/>
      <c r="AQ9" s="157"/>
      <c r="AR9" s="157"/>
      <c r="AS9" s="157"/>
      <c r="AT9" s="157"/>
      <c r="AU9" s="157"/>
    </row>
    <row r="10" spans="1:47" s="89" customFormat="1" ht="14.25">
      <c r="A10" s="377" t="str">
        <f>+Liste_services!A8</f>
        <v xml:space="preserve">La Turbie </v>
      </c>
      <c r="B10" s="233"/>
      <c r="C10" s="233"/>
      <c r="D10" s="234"/>
      <c r="E10" s="239"/>
      <c r="F10" s="258"/>
      <c r="G10" s="258"/>
      <c r="H10" s="258"/>
      <c r="I10" s="258"/>
      <c r="J10" s="236"/>
      <c r="K10" s="236"/>
      <c r="L10" s="236"/>
      <c r="M10" s="235"/>
      <c r="N10" s="236"/>
      <c r="O10" s="236"/>
      <c r="P10" s="244"/>
      <c r="Q10" s="260"/>
      <c r="R10" s="260"/>
      <c r="S10" s="260"/>
      <c r="T10" s="342">
        <f t="shared" si="0"/>
        <v>0</v>
      </c>
      <c r="U10" s="263"/>
      <c r="V10" s="182">
        <f>+(120*(O10+Q10+R10+S10+T10)+P10+N10)*1.055/120</f>
        <v>0</v>
      </c>
      <c r="W10" s="233"/>
      <c r="X10" s="236">
        <v>2</v>
      </c>
      <c r="Y10" s="233">
        <v>1</v>
      </c>
      <c r="Z10" s="248"/>
      <c r="AA10" s="233"/>
      <c r="AB10" s="406"/>
      <c r="AC10" s="316"/>
      <c r="AD10" s="521"/>
      <c r="AE10" s="339"/>
      <c r="AF10" s="339"/>
      <c r="AG10" s="496"/>
      <c r="AH10" s="497"/>
      <c r="AI10" s="498">
        <f t="shared" si="1"/>
        <v>0</v>
      </c>
      <c r="AJ10" s="157"/>
      <c r="AK10" s="157"/>
      <c r="AL10" s="157"/>
      <c r="AM10" s="157"/>
      <c r="AN10" s="157"/>
      <c r="AO10" s="157"/>
      <c r="AP10" s="157"/>
      <c r="AQ10" s="157"/>
      <c r="AR10" s="157"/>
      <c r="AS10" s="157"/>
      <c r="AT10" s="157"/>
      <c r="AU10" s="157"/>
    </row>
    <row r="11" spans="1:47" s="89" customFormat="1" ht="99.75">
      <c r="A11" s="377" t="str">
        <f>+Liste_services!A2</f>
        <v>Menton</v>
      </c>
      <c r="B11" s="233" t="s">
        <v>4</v>
      </c>
      <c r="C11" s="233" t="s">
        <v>311</v>
      </c>
      <c r="D11" s="234" t="s">
        <v>389</v>
      </c>
      <c r="E11" s="245">
        <v>47391</v>
      </c>
      <c r="F11" s="258" t="s">
        <v>390</v>
      </c>
      <c r="G11" s="258" t="s">
        <v>391</v>
      </c>
      <c r="H11" s="258">
        <v>7693</v>
      </c>
      <c r="I11" s="258" t="s">
        <v>392</v>
      </c>
      <c r="J11" s="242" t="s">
        <v>733</v>
      </c>
      <c r="K11" s="242" t="s">
        <v>393</v>
      </c>
      <c r="L11" s="242" t="s">
        <v>394</v>
      </c>
      <c r="M11" s="235">
        <v>2017</v>
      </c>
      <c r="N11" s="236">
        <v>50.27</v>
      </c>
      <c r="O11" s="418">
        <v>1.0687</v>
      </c>
      <c r="P11" s="244">
        <v>0</v>
      </c>
      <c r="Q11" s="260">
        <v>0</v>
      </c>
      <c r="R11" s="260"/>
      <c r="S11" s="260"/>
      <c r="T11" s="342">
        <f t="shared" si="0"/>
        <v>0.29499999999999998</v>
      </c>
      <c r="U11" s="263"/>
      <c r="V11" s="182">
        <f>+(120*(O11+Q11+R11+S11+T11)+P11+N11)*1.055/120</f>
        <v>1.8806605833333332</v>
      </c>
      <c r="W11" s="233" t="s">
        <v>824</v>
      </c>
      <c r="X11" s="233">
        <v>2</v>
      </c>
      <c r="Y11" s="233">
        <v>1</v>
      </c>
      <c r="Z11" s="248">
        <v>2.9999999999999997E-4</v>
      </c>
      <c r="AA11" s="233" t="s">
        <v>280</v>
      </c>
      <c r="AB11" s="406">
        <v>5.5E-2</v>
      </c>
      <c r="AC11" s="316" t="s">
        <v>395</v>
      </c>
      <c r="AD11" s="90"/>
      <c r="AE11" s="339" t="s">
        <v>396</v>
      </c>
      <c r="AF11" s="339">
        <v>5.0000000000000001E-3</v>
      </c>
      <c r="AG11" s="496">
        <v>0.28999999999999998</v>
      </c>
      <c r="AH11" s="497">
        <v>5.5E-2</v>
      </c>
      <c r="AI11" s="498">
        <f t="shared" si="1"/>
        <v>9.8043916666666661E-2</v>
      </c>
      <c r="AJ11" s="157"/>
      <c r="AK11" s="157"/>
      <c r="AL11" s="157"/>
      <c r="AM11" s="157"/>
      <c r="AN11" s="157"/>
      <c r="AO11" s="157"/>
      <c r="AP11" s="157"/>
      <c r="AQ11" s="157"/>
      <c r="AR11" s="157"/>
      <c r="AS11" s="157"/>
      <c r="AT11" s="157"/>
      <c r="AU11" s="157"/>
    </row>
    <row r="12" spans="1:47" s="89" customFormat="1" ht="94.5">
      <c r="A12" s="377" t="str">
        <f>+Liste_services!A11</f>
        <v>Moulinet</v>
      </c>
      <c r="B12" s="233" t="s">
        <v>4</v>
      </c>
      <c r="C12" s="233" t="s">
        <v>151</v>
      </c>
      <c r="D12" s="234" t="s">
        <v>279</v>
      </c>
      <c r="E12" s="233" t="s">
        <v>279</v>
      </c>
      <c r="F12" s="234" t="s">
        <v>279</v>
      </c>
      <c r="G12" s="234" t="s">
        <v>279</v>
      </c>
      <c r="H12" s="258" t="s">
        <v>280</v>
      </c>
      <c r="I12" s="258" t="s">
        <v>280</v>
      </c>
      <c r="J12" s="236" t="s">
        <v>40</v>
      </c>
      <c r="K12" s="236" t="s">
        <v>555</v>
      </c>
      <c r="L12" s="236" t="s">
        <v>40</v>
      </c>
      <c r="M12" s="235">
        <v>2016</v>
      </c>
      <c r="N12" s="236">
        <v>0</v>
      </c>
      <c r="O12" s="236">
        <v>0</v>
      </c>
      <c r="P12" s="244">
        <f>105.55+20.83</f>
        <v>126.38</v>
      </c>
      <c r="Q12" s="260">
        <v>0</v>
      </c>
      <c r="R12" s="260"/>
      <c r="S12" s="260"/>
      <c r="T12" s="342">
        <f t="shared" si="0"/>
        <v>0.28999999999999998</v>
      </c>
      <c r="U12" s="263"/>
      <c r="V12" s="182">
        <f>+(120*(O12+Q12+R12+S12+T12)+P12+N12)/120</f>
        <v>1.3431666666666666</v>
      </c>
      <c r="W12" s="233" t="s">
        <v>556</v>
      </c>
      <c r="X12" s="236">
        <v>1</v>
      </c>
      <c r="Y12" s="233">
        <v>1</v>
      </c>
      <c r="Z12" s="248" t="s">
        <v>280</v>
      </c>
      <c r="AA12" s="233" t="s">
        <v>280</v>
      </c>
      <c r="AB12" s="406">
        <v>0</v>
      </c>
      <c r="AC12" s="316" t="s">
        <v>716</v>
      </c>
      <c r="AD12" s="338" t="s">
        <v>694</v>
      </c>
      <c r="AE12" s="339" t="s">
        <v>454</v>
      </c>
      <c r="AF12" s="339">
        <v>0</v>
      </c>
      <c r="AG12" s="496">
        <v>0.28999999999999998</v>
      </c>
      <c r="AH12" s="497">
        <v>0</v>
      </c>
      <c r="AI12" s="498">
        <f t="shared" si="1"/>
        <v>0</v>
      </c>
      <c r="AJ12" s="157"/>
      <c r="AK12" s="157"/>
      <c r="AL12" s="157"/>
      <c r="AM12" s="157"/>
      <c r="AN12" s="157"/>
      <c r="AO12" s="157"/>
      <c r="AP12" s="157"/>
      <c r="AQ12" s="157"/>
      <c r="AR12" s="157"/>
      <c r="AS12" s="157"/>
      <c r="AT12" s="157"/>
      <c r="AU12" s="157"/>
    </row>
    <row r="13" spans="1:47" s="89" customFormat="1" ht="14.25">
      <c r="A13" s="377" t="str">
        <f>+Liste_services!A3</f>
        <v>Roquebrune</v>
      </c>
      <c r="B13" s="233"/>
      <c r="C13" s="233"/>
      <c r="D13" s="234"/>
      <c r="E13" s="239"/>
      <c r="F13" s="241"/>
      <c r="G13" s="241"/>
      <c r="H13" s="241"/>
      <c r="I13" s="241"/>
      <c r="J13" s="236"/>
      <c r="K13" s="236"/>
      <c r="L13" s="236"/>
      <c r="M13" s="235"/>
      <c r="N13" s="236"/>
      <c r="O13" s="236"/>
      <c r="P13" s="244"/>
      <c r="Q13" s="260"/>
      <c r="R13" s="260"/>
      <c r="S13" s="260"/>
      <c r="T13" s="342">
        <f t="shared" si="0"/>
        <v>0</v>
      </c>
      <c r="U13" s="263"/>
      <c r="V13" s="182">
        <f>+(120*(O13+Q13+R13+S13+T13)+P13+N13)*1.055/120</f>
        <v>0</v>
      </c>
      <c r="W13" s="233"/>
      <c r="X13" s="236">
        <v>2</v>
      </c>
      <c r="Y13" s="233">
        <v>1</v>
      </c>
      <c r="Z13" s="248"/>
      <c r="AA13" s="233"/>
      <c r="AB13" s="406"/>
      <c r="AC13" s="316"/>
      <c r="AD13" s="338"/>
      <c r="AE13" s="339"/>
      <c r="AF13" s="339"/>
      <c r="AG13" s="496"/>
      <c r="AH13" s="497"/>
      <c r="AI13" s="498">
        <f t="shared" si="1"/>
        <v>0</v>
      </c>
      <c r="AJ13" s="157"/>
      <c r="AK13" s="157"/>
      <c r="AL13" s="157"/>
      <c r="AM13" s="157"/>
      <c r="AN13" s="157"/>
      <c r="AO13" s="157"/>
      <c r="AP13" s="157"/>
      <c r="AQ13" s="157"/>
      <c r="AR13" s="157"/>
      <c r="AS13" s="157"/>
      <c r="AT13" s="157"/>
      <c r="AU13" s="157"/>
    </row>
    <row r="14" spans="1:47" s="89" customFormat="1" ht="14.25">
      <c r="A14" s="377" t="str">
        <f>+Liste_services!A7</f>
        <v>Sainte Agnes</v>
      </c>
      <c r="B14" s="233"/>
      <c r="C14" s="233"/>
      <c r="D14" s="234"/>
      <c r="E14" s="245"/>
      <c r="F14" s="240"/>
      <c r="G14" s="240"/>
      <c r="H14" s="240"/>
      <c r="I14" s="240"/>
      <c r="J14" s="242"/>
      <c r="K14" s="242"/>
      <c r="L14" s="242"/>
      <c r="M14" s="235"/>
      <c r="N14" s="236"/>
      <c r="O14" s="236"/>
      <c r="P14" s="238"/>
      <c r="Q14" s="264"/>
      <c r="R14" s="233"/>
      <c r="S14" s="233"/>
      <c r="T14" s="342">
        <f t="shared" si="0"/>
        <v>0</v>
      </c>
      <c r="U14" s="263"/>
      <c r="V14" s="183">
        <f>+(120*(O14+Q14+R14+S14+T14)+P14+N14)*1.055/120</f>
        <v>0</v>
      </c>
      <c r="W14" s="233"/>
      <c r="X14" s="233">
        <v>2</v>
      </c>
      <c r="Y14" s="233">
        <v>1</v>
      </c>
      <c r="Z14" s="248"/>
      <c r="AA14" s="233"/>
      <c r="AB14" s="406"/>
      <c r="AC14" s="316"/>
      <c r="AD14" s="338"/>
      <c r="AE14" s="339"/>
      <c r="AF14" s="339"/>
      <c r="AG14" s="496"/>
      <c r="AH14" s="497"/>
      <c r="AI14" s="498">
        <f t="shared" si="1"/>
        <v>0</v>
      </c>
      <c r="AJ14" s="157"/>
      <c r="AK14" s="157"/>
      <c r="AL14" s="157"/>
      <c r="AM14" s="157"/>
      <c r="AN14" s="157"/>
      <c r="AO14" s="157"/>
      <c r="AP14" s="157"/>
      <c r="AQ14" s="157"/>
      <c r="AR14" s="157"/>
      <c r="AS14" s="157"/>
      <c r="AT14" s="157"/>
      <c r="AU14" s="157"/>
    </row>
    <row r="15" spans="1:47" s="89" customFormat="1" ht="121.5">
      <c r="A15" s="377" t="str">
        <f>+Liste_services!A13</f>
        <v>Saorge</v>
      </c>
      <c r="B15" s="233" t="s">
        <v>4</v>
      </c>
      <c r="C15" s="233" t="s">
        <v>287</v>
      </c>
      <c r="D15" s="234" t="s">
        <v>279</v>
      </c>
      <c r="E15" s="233" t="s">
        <v>279</v>
      </c>
      <c r="F15" s="234" t="s">
        <v>279</v>
      </c>
      <c r="G15" s="234" t="s">
        <v>279</v>
      </c>
      <c r="H15" s="258" t="s">
        <v>280</v>
      </c>
      <c r="I15" s="258" t="s">
        <v>280</v>
      </c>
      <c r="J15" s="236" t="s">
        <v>40</v>
      </c>
      <c r="K15" s="523" t="s">
        <v>40</v>
      </c>
      <c r="L15" s="236" t="s">
        <v>40</v>
      </c>
      <c r="M15" s="235">
        <v>2016</v>
      </c>
      <c r="N15" s="236">
        <v>0</v>
      </c>
      <c r="O15" s="236">
        <v>0</v>
      </c>
      <c r="P15" s="236">
        <v>90.33</v>
      </c>
      <c r="Q15" s="260">
        <v>0</v>
      </c>
      <c r="R15" s="260"/>
      <c r="S15" s="260"/>
      <c r="T15" s="342">
        <f t="shared" si="0"/>
        <v>0.15708333333333335</v>
      </c>
      <c r="U15" s="263"/>
      <c r="V15" s="184">
        <f>+(120*(O15+Q15+R15+S15+T15)+P15+N15)/120</f>
        <v>0.90983333333333338</v>
      </c>
      <c r="W15" s="235" t="s">
        <v>742</v>
      </c>
      <c r="X15" s="236">
        <v>1</v>
      </c>
      <c r="Y15" s="233" t="s">
        <v>449</v>
      </c>
      <c r="Z15" s="248">
        <v>1.0999999999999999E-2</v>
      </c>
      <c r="AA15" s="233" t="s">
        <v>280</v>
      </c>
      <c r="AB15" s="406">
        <v>0</v>
      </c>
      <c r="AC15" s="316" t="s">
        <v>741</v>
      </c>
      <c r="AD15" s="338" t="s">
        <v>694</v>
      </c>
      <c r="AE15" s="339" t="s">
        <v>454</v>
      </c>
      <c r="AF15" s="339">
        <v>0</v>
      </c>
      <c r="AG15" s="519">
        <f>18.85/120</f>
        <v>0.15708333333333335</v>
      </c>
      <c r="AH15" s="497">
        <v>0</v>
      </c>
      <c r="AI15" s="498">
        <f t="shared" si="1"/>
        <v>0</v>
      </c>
      <c r="AJ15" s="157"/>
      <c r="AK15" s="157"/>
      <c r="AL15" s="157"/>
      <c r="AM15" s="157"/>
      <c r="AN15" s="157"/>
      <c r="AO15" s="157"/>
      <c r="AP15" s="157"/>
      <c r="AQ15" s="157"/>
      <c r="AR15" s="157"/>
      <c r="AS15" s="157"/>
      <c r="AT15" s="157"/>
      <c r="AU15" s="157"/>
    </row>
    <row r="16" spans="1:47" s="89" customFormat="1" ht="228">
      <c r="A16" s="377" t="str">
        <f>+Liste_services!A17</f>
        <v>SIECL</v>
      </c>
      <c r="B16" s="233" t="s">
        <v>597</v>
      </c>
      <c r="C16" s="233" t="s">
        <v>311</v>
      </c>
      <c r="D16" s="234" t="s">
        <v>389</v>
      </c>
      <c r="E16" s="239">
        <v>45657</v>
      </c>
      <c r="F16" s="258" t="s">
        <v>831</v>
      </c>
      <c r="G16" s="258" t="s">
        <v>598</v>
      </c>
      <c r="H16" s="258">
        <v>11796</v>
      </c>
      <c r="I16" s="258" t="s">
        <v>599</v>
      </c>
      <c r="J16" s="236" t="s">
        <v>600</v>
      </c>
      <c r="K16" s="236" t="s">
        <v>677</v>
      </c>
      <c r="L16" s="236" t="s">
        <v>601</v>
      </c>
      <c r="M16" s="235">
        <v>2017</v>
      </c>
      <c r="N16" s="236">
        <v>39.03</v>
      </c>
      <c r="O16" s="260">
        <f>99.52/120</f>
        <v>0.82933333333333326</v>
      </c>
      <c r="P16" s="244">
        <v>0</v>
      </c>
      <c r="Q16" s="260">
        <v>0.27</v>
      </c>
      <c r="R16" s="260"/>
      <c r="S16" s="260"/>
      <c r="T16" s="342">
        <f t="shared" si="0"/>
        <v>0.33499999999999996</v>
      </c>
      <c r="U16" s="263"/>
      <c r="V16" s="182">
        <f>+(120*(O16+Q16+R16+S16+T16)+P16+N16)*1.055/120</f>
        <v>1.8563604166666665</v>
      </c>
      <c r="W16" s="233" t="s">
        <v>279</v>
      </c>
      <c r="X16" s="236">
        <v>2</v>
      </c>
      <c r="Y16" s="233">
        <v>1</v>
      </c>
      <c r="Z16" s="248">
        <v>1.2999999999999999E-3</v>
      </c>
      <c r="AA16" s="233" t="s">
        <v>280</v>
      </c>
      <c r="AB16" s="406">
        <v>5.5E-2</v>
      </c>
      <c r="AC16" s="316" t="s">
        <v>558</v>
      </c>
      <c r="AD16" s="338" t="s">
        <v>828</v>
      </c>
      <c r="AE16" s="339" t="s">
        <v>454</v>
      </c>
      <c r="AF16" s="339">
        <v>4.4999999999999998E-2</v>
      </c>
      <c r="AG16" s="496">
        <v>0.28999999999999998</v>
      </c>
      <c r="AH16" s="497">
        <v>5.5E-2</v>
      </c>
      <c r="AI16" s="498">
        <f t="shared" si="1"/>
        <v>9.6777083333333319E-2</v>
      </c>
      <c r="AJ16" s="157"/>
      <c r="AK16" s="157"/>
      <c r="AL16" s="157"/>
      <c r="AM16" s="157"/>
      <c r="AN16" s="157"/>
      <c r="AO16" s="157"/>
      <c r="AP16" s="157"/>
      <c r="AQ16" s="157"/>
      <c r="AR16" s="157"/>
      <c r="AS16" s="157"/>
      <c r="AT16" s="157"/>
      <c r="AU16" s="157"/>
    </row>
    <row r="17" spans="1:47" ht="67.5">
      <c r="A17" s="377" t="str">
        <f>+Liste_services!A10</f>
        <v>Sospel</v>
      </c>
      <c r="B17" s="233" t="s">
        <v>4</v>
      </c>
      <c r="C17" s="233" t="s">
        <v>287</v>
      </c>
      <c r="D17" s="234" t="s">
        <v>279</v>
      </c>
      <c r="E17" s="233" t="s">
        <v>279</v>
      </c>
      <c r="F17" s="234" t="s">
        <v>279</v>
      </c>
      <c r="G17" s="234" t="s">
        <v>279</v>
      </c>
      <c r="H17" s="258" t="s">
        <v>280</v>
      </c>
      <c r="I17" s="258" t="s">
        <v>280</v>
      </c>
      <c r="J17" s="236" t="s">
        <v>40</v>
      </c>
      <c r="K17" s="236" t="s">
        <v>529</v>
      </c>
      <c r="L17" s="236" t="s">
        <v>592</v>
      </c>
      <c r="M17" s="235">
        <v>2016</v>
      </c>
      <c r="N17" s="236">
        <v>0</v>
      </c>
      <c r="O17" s="236">
        <v>0</v>
      </c>
      <c r="P17" s="244">
        <v>45</v>
      </c>
      <c r="Q17" s="260">
        <v>1.4</v>
      </c>
      <c r="R17" s="260">
        <v>0</v>
      </c>
      <c r="S17" s="260">
        <v>0</v>
      </c>
      <c r="T17" s="342">
        <f t="shared" si="0"/>
        <v>0.28999999999999998</v>
      </c>
      <c r="U17" s="263"/>
      <c r="V17" s="184">
        <f>+(120*(O17+Q17+R17+S17+T17)+P17+N17)*1.055/120</f>
        <v>2.1785749999999999</v>
      </c>
      <c r="W17" s="235" t="s">
        <v>593</v>
      </c>
      <c r="X17" s="236">
        <v>2</v>
      </c>
      <c r="Y17" s="233">
        <v>2</v>
      </c>
      <c r="Z17" s="489">
        <v>0.06</v>
      </c>
      <c r="AA17" s="233" t="s">
        <v>280</v>
      </c>
      <c r="AB17" s="406">
        <v>5.5E-2</v>
      </c>
      <c r="AC17" s="316" t="s">
        <v>714</v>
      </c>
      <c r="AD17" s="338" t="s">
        <v>594</v>
      </c>
      <c r="AE17" s="339" t="s">
        <v>454</v>
      </c>
      <c r="AF17" s="339"/>
      <c r="AG17" s="496">
        <v>0.28999999999999998</v>
      </c>
      <c r="AH17" s="497">
        <v>5.5E-2</v>
      </c>
      <c r="AI17" s="498">
        <f t="shared" si="1"/>
        <v>0.113575</v>
      </c>
      <c r="AJ17" s="157"/>
      <c r="AK17" s="157"/>
      <c r="AL17" s="157"/>
      <c r="AM17" s="157"/>
      <c r="AN17" s="157"/>
      <c r="AO17" s="157"/>
      <c r="AP17" s="157"/>
      <c r="AQ17" s="157"/>
      <c r="AR17" s="157"/>
      <c r="AS17" s="157"/>
      <c r="AT17" s="157"/>
      <c r="AU17" s="157"/>
    </row>
    <row r="18" spans="1:47" ht="67.5">
      <c r="A18" s="377" t="str">
        <f>+Liste_services!A16</f>
        <v>Tende</v>
      </c>
      <c r="B18" s="233" t="s">
        <v>42</v>
      </c>
      <c r="C18" s="233" t="s">
        <v>287</v>
      </c>
      <c r="D18" s="234" t="s">
        <v>279</v>
      </c>
      <c r="E18" s="233" t="s">
        <v>279</v>
      </c>
      <c r="F18" s="234" t="s">
        <v>279</v>
      </c>
      <c r="G18" s="234" t="s">
        <v>279</v>
      </c>
      <c r="H18" s="258">
        <v>0</v>
      </c>
      <c r="I18" s="258" t="s">
        <v>279</v>
      </c>
      <c r="J18" s="236" t="s">
        <v>40</v>
      </c>
      <c r="K18" s="236" t="s">
        <v>44</v>
      </c>
      <c r="L18" s="236" t="s">
        <v>288</v>
      </c>
      <c r="M18" s="235">
        <v>2017</v>
      </c>
      <c r="N18" s="236">
        <v>0</v>
      </c>
      <c r="O18" s="236">
        <v>0</v>
      </c>
      <c r="P18" s="244">
        <v>108.4</v>
      </c>
      <c r="Q18" s="260">
        <v>0</v>
      </c>
      <c r="R18" s="260"/>
      <c r="S18" s="260"/>
      <c r="T18" s="342">
        <f t="shared" si="0"/>
        <v>0.28999999999999998</v>
      </c>
      <c r="U18" s="263"/>
      <c r="V18" s="182">
        <f>+(120*(O18+Q18+R18+S18+T18)+P18+N18)/120</f>
        <v>1.1933333333333331</v>
      </c>
      <c r="W18" s="233" t="s">
        <v>40</v>
      </c>
      <c r="X18" s="236">
        <v>1</v>
      </c>
      <c r="Y18" s="233" t="s">
        <v>449</v>
      </c>
      <c r="Z18" s="248" t="s">
        <v>280</v>
      </c>
      <c r="AA18" s="233" t="s">
        <v>280</v>
      </c>
      <c r="AB18" s="406" t="s">
        <v>40</v>
      </c>
      <c r="AC18" s="316" t="s">
        <v>318</v>
      </c>
      <c r="AD18" s="338" t="s">
        <v>694</v>
      </c>
      <c r="AE18" s="339" t="s">
        <v>328</v>
      </c>
      <c r="AF18" s="339">
        <v>0</v>
      </c>
      <c r="AG18" s="496">
        <v>0.28999999999999998</v>
      </c>
      <c r="AH18" s="497">
        <v>0</v>
      </c>
      <c r="AI18" s="498">
        <f t="shared" si="1"/>
        <v>0</v>
      </c>
      <c r="AJ18" s="157"/>
      <c r="AK18" s="157"/>
      <c r="AL18" s="157"/>
      <c r="AM18" s="157"/>
      <c r="AN18" s="157"/>
      <c r="AO18" s="157"/>
      <c r="AP18" s="157"/>
      <c r="AQ18" s="157"/>
      <c r="AR18" s="157"/>
      <c r="AS18" s="157"/>
      <c r="AT18" s="157"/>
      <c r="AU18" s="157"/>
    </row>
    <row r="19" spans="1:47">
      <c r="B19" s="261"/>
      <c r="C19" s="261"/>
      <c r="D19" s="261"/>
      <c r="E19" s="262"/>
      <c r="F19" s="261"/>
      <c r="G19" s="261"/>
      <c r="H19" s="261"/>
      <c r="I19" s="261"/>
      <c r="J19" s="261"/>
      <c r="K19" s="261"/>
      <c r="L19" s="261"/>
      <c r="M19" s="261"/>
      <c r="N19" s="262"/>
      <c r="O19" s="262"/>
      <c r="P19" s="267"/>
      <c r="Q19" s="268"/>
      <c r="R19" s="268"/>
      <c r="S19" s="268"/>
      <c r="T19" s="262"/>
      <c r="U19" s="262"/>
      <c r="AC19" s="157"/>
      <c r="AD19" s="157"/>
      <c r="AE19" s="157"/>
      <c r="AF19" s="157"/>
      <c r="AG19" s="157"/>
      <c r="AH19" s="157"/>
      <c r="AI19" s="157"/>
      <c r="AJ19" s="157"/>
      <c r="AK19" s="157"/>
      <c r="AL19" s="157"/>
      <c r="AM19" s="157"/>
      <c r="AN19" s="157"/>
      <c r="AO19" s="157"/>
      <c r="AP19" s="157"/>
      <c r="AQ19" s="157"/>
      <c r="AR19" s="157"/>
      <c r="AS19" s="157"/>
      <c r="AT19" s="157"/>
      <c r="AU19" s="157"/>
    </row>
    <row r="20" spans="1:47">
      <c r="B20" s="261"/>
      <c r="C20" s="261"/>
      <c r="D20" s="261"/>
      <c r="E20" s="262"/>
      <c r="F20" s="261"/>
      <c r="G20" s="261"/>
      <c r="H20" s="261"/>
      <c r="I20" s="261"/>
      <c r="J20" s="261"/>
      <c r="K20" s="261"/>
      <c r="L20" s="261"/>
      <c r="M20" s="261"/>
      <c r="N20" s="262"/>
      <c r="O20" s="262"/>
      <c r="P20" s="267"/>
      <c r="Q20" s="268"/>
      <c r="R20" s="268"/>
      <c r="S20" s="268"/>
      <c r="T20" s="262"/>
      <c r="U20" s="262"/>
      <c r="AC20" s="157"/>
      <c r="AD20" s="157"/>
      <c r="AE20" s="157"/>
      <c r="AF20" s="157"/>
      <c r="AG20" s="157"/>
      <c r="AH20" s="157"/>
      <c r="AI20" s="157"/>
      <c r="AJ20" s="157"/>
      <c r="AK20" s="157"/>
      <c r="AL20" s="157"/>
      <c r="AM20" s="157"/>
      <c r="AN20" s="157"/>
      <c r="AO20" s="157"/>
      <c r="AP20" s="157"/>
      <c r="AQ20" s="157"/>
      <c r="AR20" s="157"/>
      <c r="AS20" s="157"/>
      <c r="AT20" s="157"/>
      <c r="AU20" s="157"/>
    </row>
    <row r="21" spans="1:47">
      <c r="B21" s="261"/>
      <c r="C21" s="261"/>
      <c r="D21" s="261"/>
      <c r="E21" s="262"/>
      <c r="F21" s="261"/>
      <c r="G21" s="261"/>
      <c r="H21" s="261"/>
      <c r="I21" s="261"/>
      <c r="J21" s="261"/>
      <c r="K21" s="261"/>
      <c r="L21" s="261"/>
      <c r="M21" s="261"/>
      <c r="N21" s="262"/>
      <c r="O21" s="262"/>
      <c r="P21" s="267"/>
      <c r="Q21" s="268"/>
      <c r="R21" s="268"/>
      <c r="S21" s="268"/>
      <c r="T21" s="262"/>
      <c r="U21" s="262"/>
    </row>
    <row r="23" spans="1:47">
      <c r="N23" s="188"/>
    </row>
    <row r="29" spans="1:47">
      <c r="W29" s="404"/>
    </row>
    <row r="30" spans="1:47">
      <c r="W30" s="405"/>
    </row>
  </sheetData>
  <autoFilter ref="A2:AU18">
    <sortState ref="A3:AU18">
      <sortCondition ref="A2:A16"/>
    </sortState>
  </autoFilter>
  <sortState ref="A3:AU47">
    <sortCondition ref="A3:A47"/>
  </sortState>
  <conditionalFormatting sqref="B3:AI18">
    <cfRule type="cellIs" dxfId="1" priority="1" operator="equal">
      <formula>"nc"</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3" tint="0.59999389629810485"/>
  </sheetPr>
  <dimension ref="A1:AC18"/>
  <sheetViews>
    <sheetView zoomScale="85" zoomScaleNormal="85" workbookViewId="0">
      <pane xSplit="1" ySplit="2" topLeftCell="N19" activePane="bottomRight" state="frozen"/>
      <selection pane="topRight" activeCell="B1" sqref="B1"/>
      <selection pane="bottomLeft" activeCell="A3" sqref="A3"/>
      <selection pane="bottomRight" activeCell="A19" sqref="A19:XFD47"/>
    </sheetView>
  </sheetViews>
  <sheetFormatPr baseColWidth="10" defaultColWidth="11.5703125" defaultRowHeight="12.75"/>
  <cols>
    <col min="1" max="1" width="22.140625" style="215" customWidth="1"/>
    <col min="2" max="3" width="11.5703125" style="87"/>
    <col min="4" max="4" width="11" style="87" customWidth="1"/>
    <col min="5" max="5" width="10" style="87" customWidth="1"/>
    <col min="6" max="6" width="16.5703125" style="97" customWidth="1"/>
    <col min="7" max="7" width="15" style="97" customWidth="1"/>
    <col min="8" max="8" width="15.85546875" style="97" customWidth="1"/>
    <col min="9" max="9" width="15.42578125" style="97" hidden="1" customWidth="1"/>
    <col min="10" max="10" width="18.5703125" style="97" customWidth="1"/>
    <col min="11" max="11" width="11.140625" style="97" customWidth="1"/>
    <col min="12" max="13" width="11.5703125" style="97" customWidth="1"/>
    <col min="14" max="14" width="13.28515625" style="97" customWidth="1"/>
    <col min="15" max="18" width="11.5703125" style="87" customWidth="1"/>
    <col min="19" max="19" width="11.85546875" style="87" customWidth="1"/>
    <col min="20" max="24" width="11.5703125" style="87" customWidth="1"/>
    <col min="25" max="25" width="19.85546875" style="87" customWidth="1"/>
    <col min="26" max="26" width="18.42578125" style="87" bestFit="1" customWidth="1"/>
    <col min="27" max="29" width="11.5703125" style="87" customWidth="1"/>
    <col min="30" max="16384" width="11.5703125" style="87"/>
  </cols>
  <sheetData>
    <row r="1" spans="1:29">
      <c r="A1" s="215">
        <v>1</v>
      </c>
      <c r="B1" s="122">
        <v>2</v>
      </c>
      <c r="C1" s="122">
        <v>3</v>
      </c>
      <c r="D1" s="122">
        <v>4</v>
      </c>
      <c r="E1" s="122">
        <v>5</v>
      </c>
      <c r="F1" s="122">
        <v>6</v>
      </c>
      <c r="G1" s="122">
        <v>7</v>
      </c>
      <c r="H1" s="122">
        <v>8</v>
      </c>
      <c r="I1" s="122">
        <v>9</v>
      </c>
      <c r="J1" s="122">
        <v>10</v>
      </c>
      <c r="K1" s="122">
        <v>11</v>
      </c>
      <c r="L1" s="122">
        <v>12</v>
      </c>
      <c r="M1" s="122">
        <v>13</v>
      </c>
      <c r="N1" s="122">
        <v>14</v>
      </c>
      <c r="O1" s="122">
        <v>15</v>
      </c>
      <c r="P1" s="122">
        <v>16</v>
      </c>
      <c r="Q1" s="122">
        <v>17</v>
      </c>
      <c r="R1" s="122">
        <v>18</v>
      </c>
      <c r="S1" s="122">
        <v>19</v>
      </c>
      <c r="T1" s="122">
        <v>20</v>
      </c>
      <c r="U1" s="122">
        <v>21</v>
      </c>
      <c r="V1" s="122">
        <v>22</v>
      </c>
      <c r="W1" s="122">
        <v>23</v>
      </c>
      <c r="X1" s="122">
        <v>24</v>
      </c>
      <c r="Y1" s="122">
        <v>25</v>
      </c>
      <c r="Z1" s="87">
        <v>26</v>
      </c>
    </row>
    <row r="2" spans="1:29" ht="45">
      <c r="A2" s="216" t="s">
        <v>7</v>
      </c>
      <c r="B2" s="210" t="s">
        <v>181</v>
      </c>
      <c r="C2" s="210" t="s">
        <v>182</v>
      </c>
      <c r="D2" s="210" t="s">
        <v>183</v>
      </c>
      <c r="E2" s="211" t="s">
        <v>184</v>
      </c>
      <c r="F2" s="211" t="s">
        <v>34</v>
      </c>
      <c r="G2" s="210" t="s">
        <v>222</v>
      </c>
      <c r="H2" s="210" t="s">
        <v>223</v>
      </c>
      <c r="I2" s="212" t="s">
        <v>614</v>
      </c>
      <c r="J2" s="212" t="s">
        <v>186</v>
      </c>
      <c r="K2" s="212" t="s">
        <v>224</v>
      </c>
      <c r="L2" s="83" t="s">
        <v>34</v>
      </c>
      <c r="M2" s="83" t="s">
        <v>141</v>
      </c>
      <c r="N2" s="83" t="s">
        <v>142</v>
      </c>
      <c r="O2" s="83" t="s">
        <v>143</v>
      </c>
      <c r="P2" s="84" t="s">
        <v>218</v>
      </c>
      <c r="Q2" s="84" t="s">
        <v>219</v>
      </c>
      <c r="R2" s="84" t="s">
        <v>220</v>
      </c>
      <c r="S2" s="85" t="s">
        <v>75</v>
      </c>
      <c r="T2" s="85" t="s">
        <v>77</v>
      </c>
      <c r="U2" s="85" t="s">
        <v>216</v>
      </c>
      <c r="V2" s="86" t="s">
        <v>76</v>
      </c>
      <c r="W2" s="86" t="s">
        <v>78</v>
      </c>
      <c r="X2" s="86" t="s">
        <v>217</v>
      </c>
      <c r="Y2" s="83" t="s">
        <v>31</v>
      </c>
      <c r="Z2" s="210" t="s">
        <v>653</v>
      </c>
      <c r="AC2" s="87" t="s">
        <v>175</v>
      </c>
    </row>
    <row r="3" spans="1:29" ht="13.5" customHeight="1">
      <c r="A3" s="216" t="str">
        <f>+Liste_services!A2</f>
        <v>Menton</v>
      </c>
      <c r="B3" s="213"/>
      <c r="C3" s="213"/>
      <c r="D3" s="213"/>
      <c r="E3" s="213"/>
      <c r="F3" s="231" t="s">
        <v>619</v>
      </c>
      <c r="G3" s="231" t="s">
        <v>619</v>
      </c>
      <c r="H3" s="231" t="s">
        <v>619</v>
      </c>
      <c r="I3" s="231" t="s">
        <v>619</v>
      </c>
      <c r="J3" s="231" t="s">
        <v>619</v>
      </c>
      <c r="K3" s="231" t="s">
        <v>619</v>
      </c>
      <c r="L3" s="231" t="s">
        <v>619</v>
      </c>
      <c r="M3" s="231" t="s">
        <v>619</v>
      </c>
      <c r="N3" s="231" t="s">
        <v>619</v>
      </c>
      <c r="O3" s="231" t="s">
        <v>619</v>
      </c>
      <c r="P3" s="231" t="s">
        <v>619</v>
      </c>
      <c r="Q3" s="231" t="s">
        <v>619</v>
      </c>
      <c r="R3" s="231" t="s">
        <v>619</v>
      </c>
      <c r="S3" s="231" t="s">
        <v>619</v>
      </c>
      <c r="T3" s="231" t="s">
        <v>619</v>
      </c>
      <c r="U3" s="231" t="s">
        <v>619</v>
      </c>
      <c r="V3" s="231" t="s">
        <v>619</v>
      </c>
      <c r="W3" s="231" t="s">
        <v>619</v>
      </c>
      <c r="X3" s="231" t="s">
        <v>619</v>
      </c>
      <c r="Y3" s="88" t="s">
        <v>618</v>
      </c>
      <c r="Z3" s="88" t="s">
        <v>40</v>
      </c>
      <c r="AC3" s="199" t="e">
        <f>+Eau_technique!#REF!*(Juridique_Eau!#REF!)+Eau_technique!#REF!*Juridique_Eau!#REF!</f>
        <v>#REF!</v>
      </c>
    </row>
    <row r="4" spans="1:29" ht="13.5" customHeight="1">
      <c r="A4" s="216" t="str">
        <f>+Liste_services!A3</f>
        <v>Roquebrune</v>
      </c>
      <c r="B4" s="213"/>
      <c r="C4" s="213"/>
      <c r="D4" s="213"/>
      <c r="E4" s="213"/>
      <c r="F4" s="213">
        <v>0</v>
      </c>
      <c r="G4" s="213">
        <v>0</v>
      </c>
      <c r="H4" s="213">
        <v>0</v>
      </c>
      <c r="I4" s="214">
        <v>0</v>
      </c>
      <c r="J4" s="214">
        <f t="shared" ref="J4:J18" si="0">AVERAGE(P4:R4)</f>
        <v>0</v>
      </c>
      <c r="K4" s="217">
        <v>0</v>
      </c>
      <c r="L4" s="88">
        <v>0</v>
      </c>
      <c r="M4" s="88">
        <v>0</v>
      </c>
      <c r="N4" s="88">
        <v>0</v>
      </c>
      <c r="O4" s="88">
        <v>0</v>
      </c>
      <c r="P4" s="88">
        <v>0</v>
      </c>
      <c r="Q4" s="88">
        <v>0</v>
      </c>
      <c r="R4" s="88">
        <v>0</v>
      </c>
      <c r="S4" s="88">
        <v>0</v>
      </c>
      <c r="T4" s="88">
        <v>0</v>
      </c>
      <c r="U4" s="88">
        <v>0</v>
      </c>
      <c r="V4" s="88">
        <v>0</v>
      </c>
      <c r="W4" s="88">
        <v>0</v>
      </c>
      <c r="X4" s="88">
        <v>0</v>
      </c>
      <c r="Y4" s="436" t="s">
        <v>256</v>
      </c>
      <c r="Z4" s="88" t="s">
        <v>657</v>
      </c>
      <c r="AC4" s="199" t="e">
        <f>+Eau_technique!#REF!*(Juridique_Eau!#REF!)+Eau_technique!#REF!*Juridique_Eau!#REF!</f>
        <v>#REF!</v>
      </c>
    </row>
    <row r="5" spans="1:29" ht="24">
      <c r="A5" s="216" t="str">
        <f>+Liste_services!A4</f>
        <v>Beausoleil</v>
      </c>
      <c r="B5" s="213"/>
      <c r="C5" s="213"/>
      <c r="D5" s="213"/>
      <c r="E5" s="213"/>
      <c r="F5" s="231" t="s">
        <v>619</v>
      </c>
      <c r="G5" s="231" t="s">
        <v>619</v>
      </c>
      <c r="H5" s="231" t="s">
        <v>619</v>
      </c>
      <c r="I5" s="231" t="s">
        <v>619</v>
      </c>
      <c r="J5" s="231" t="s">
        <v>619</v>
      </c>
      <c r="K5" s="231" t="s">
        <v>619</v>
      </c>
      <c r="L5" s="231" t="s">
        <v>619</v>
      </c>
      <c r="M5" s="231" t="s">
        <v>619</v>
      </c>
      <c r="N5" s="231" t="s">
        <v>619</v>
      </c>
      <c r="O5" s="231" t="s">
        <v>619</v>
      </c>
      <c r="P5" s="231" t="s">
        <v>619</v>
      </c>
      <c r="Q5" s="231" t="s">
        <v>619</v>
      </c>
      <c r="R5" s="231" t="s">
        <v>619</v>
      </c>
      <c r="S5" s="231" t="s">
        <v>619</v>
      </c>
      <c r="T5" s="231" t="s">
        <v>619</v>
      </c>
      <c r="U5" s="231" t="s">
        <v>619</v>
      </c>
      <c r="V5" s="231" t="s">
        <v>619</v>
      </c>
      <c r="W5" s="231" t="s">
        <v>619</v>
      </c>
      <c r="X5" s="231" t="s">
        <v>619</v>
      </c>
      <c r="Y5" s="436" t="s">
        <v>618</v>
      </c>
      <c r="Z5" s="88" t="s">
        <v>40</v>
      </c>
      <c r="AC5" s="199" t="e">
        <f>+Eau_technique!#REF!*(Juridique_Eau!#REF!)+Eau_technique!#REF!*Juridique_Eau!#REF!</f>
        <v>#REF!</v>
      </c>
    </row>
    <row r="6" spans="1:29" ht="15">
      <c r="A6" s="216" t="str">
        <f>+Liste_services!A13</f>
        <v>Saorge</v>
      </c>
      <c r="B6" s="213"/>
      <c r="C6" s="213"/>
      <c r="D6" s="213" t="s">
        <v>604</v>
      </c>
      <c r="E6" s="213"/>
      <c r="F6" s="213" t="s">
        <v>41</v>
      </c>
      <c r="G6" s="231" t="s">
        <v>40</v>
      </c>
      <c r="H6" s="231" t="s">
        <v>40</v>
      </c>
      <c r="I6" s="214"/>
      <c r="J6" s="214">
        <f>AVERAGE(P6:R6)</f>
        <v>-1394.6666666666667</v>
      </c>
      <c r="K6" s="217" t="s">
        <v>40</v>
      </c>
      <c r="L6" s="88" t="s">
        <v>41</v>
      </c>
      <c r="M6" s="88" t="s">
        <v>40</v>
      </c>
      <c r="N6" s="88" t="s">
        <v>40</v>
      </c>
      <c r="O6" s="88" t="s">
        <v>41</v>
      </c>
      <c r="P6" s="435">
        <v>4747</v>
      </c>
      <c r="Q6" s="435">
        <v>1856</v>
      </c>
      <c r="R6" s="435">
        <v>-10787</v>
      </c>
      <c r="S6" s="435">
        <v>199584</v>
      </c>
      <c r="T6" s="435">
        <v>87038</v>
      </c>
      <c r="U6" s="435">
        <v>76251</v>
      </c>
      <c r="V6" s="435">
        <v>293593</v>
      </c>
      <c r="W6" s="435">
        <v>287018</v>
      </c>
      <c r="X6" s="435">
        <v>280162</v>
      </c>
      <c r="Y6" s="436" t="s">
        <v>301</v>
      </c>
      <c r="Z6" s="88" t="s">
        <v>658</v>
      </c>
      <c r="AC6" s="199" t="e">
        <f>+Eau_technique!#REF!*(Juridique_Eau!#REF!)+Eau_technique!#REF!*Juridique_Eau!#REF!</f>
        <v>#REF!</v>
      </c>
    </row>
    <row r="7" spans="1:29" ht="15">
      <c r="A7" s="216" t="str">
        <f>+Liste_services!A5</f>
        <v>Gorbio</v>
      </c>
      <c r="B7" s="213"/>
      <c r="C7" s="213" t="s">
        <v>604</v>
      </c>
      <c r="D7" s="213"/>
      <c r="E7" s="213"/>
      <c r="F7" s="213">
        <v>0</v>
      </c>
      <c r="G7" s="213">
        <v>0</v>
      </c>
      <c r="H7" s="213">
        <v>0</v>
      </c>
      <c r="I7" s="214">
        <v>0</v>
      </c>
      <c r="J7" s="214">
        <f t="shared" si="0"/>
        <v>0</v>
      </c>
      <c r="K7" s="217">
        <v>0</v>
      </c>
      <c r="L7" s="88">
        <v>0</v>
      </c>
      <c r="M7" s="88">
        <v>0</v>
      </c>
      <c r="N7" s="88">
        <v>0</v>
      </c>
      <c r="O7" s="88">
        <v>0</v>
      </c>
      <c r="P7" s="88">
        <v>0</v>
      </c>
      <c r="Q7" s="88">
        <v>0</v>
      </c>
      <c r="R7" s="88">
        <v>0</v>
      </c>
      <c r="S7" s="88">
        <v>0</v>
      </c>
      <c r="T7" s="88">
        <v>0</v>
      </c>
      <c r="U7" s="88">
        <v>0</v>
      </c>
      <c r="V7" s="88">
        <v>0</v>
      </c>
      <c r="W7" s="88">
        <v>0</v>
      </c>
      <c r="X7" s="88">
        <v>0</v>
      </c>
      <c r="Y7" s="436" t="s">
        <v>256</v>
      </c>
      <c r="Z7" s="88" t="s">
        <v>657</v>
      </c>
      <c r="AC7" s="199" t="e">
        <f>+Eau_technique!M3*(Juridique_Eau!#REF!)+Eau_technique!V3*Juridique_Eau!#REF!</f>
        <v>#VALUE!</v>
      </c>
    </row>
    <row r="8" spans="1:29" ht="24">
      <c r="A8" s="216" t="str">
        <f>+Liste_services!A6</f>
        <v>Castellar</v>
      </c>
      <c r="B8" s="213"/>
      <c r="C8" s="213"/>
      <c r="D8" s="213" t="s">
        <v>604</v>
      </c>
      <c r="E8" s="213"/>
      <c r="F8" s="213" t="s">
        <v>40</v>
      </c>
      <c r="G8" s="231" t="s">
        <v>41</v>
      </c>
      <c r="H8" s="231" t="s">
        <v>40</v>
      </c>
      <c r="I8" s="214"/>
      <c r="J8" s="214">
        <f t="shared" si="0"/>
        <v>57267.666666666664</v>
      </c>
      <c r="K8" s="217" t="s">
        <v>40</v>
      </c>
      <c r="L8" s="88" t="s">
        <v>40</v>
      </c>
      <c r="M8" s="88" t="s">
        <v>41</v>
      </c>
      <c r="N8" s="88" t="s">
        <v>40</v>
      </c>
      <c r="O8" s="88" t="s">
        <v>41</v>
      </c>
      <c r="P8" s="435">
        <v>40284</v>
      </c>
      <c r="Q8" s="435">
        <v>39847</v>
      </c>
      <c r="R8" s="435">
        <v>91672</v>
      </c>
      <c r="S8" s="435">
        <v>131760</v>
      </c>
      <c r="T8" s="435">
        <v>171607</v>
      </c>
      <c r="U8" s="435">
        <v>264179</v>
      </c>
      <c r="V8" s="88">
        <v>0</v>
      </c>
      <c r="W8" s="88">
        <v>0</v>
      </c>
      <c r="X8" s="88">
        <v>0</v>
      </c>
      <c r="Y8" s="436" t="s">
        <v>750</v>
      </c>
      <c r="Z8" s="88" t="s">
        <v>658</v>
      </c>
      <c r="AC8" s="199" t="e">
        <f>+Eau_technique!#REF!*(Juridique_Eau!#REF!)+Eau_technique!#REF!*Juridique_Eau!#REF!</f>
        <v>#REF!</v>
      </c>
    </row>
    <row r="9" spans="1:29" ht="15">
      <c r="A9" s="216" t="str">
        <f>+Liste_services!A7</f>
        <v>Sainte Agnes</v>
      </c>
      <c r="B9" s="213"/>
      <c r="C9" s="213"/>
      <c r="D9" s="213"/>
      <c r="E9" s="213" t="s">
        <v>604</v>
      </c>
      <c r="F9" s="231"/>
      <c r="G9" s="231" t="s">
        <v>619</v>
      </c>
      <c r="H9" s="231" t="s">
        <v>619</v>
      </c>
      <c r="I9" s="214">
        <v>0</v>
      </c>
      <c r="J9" s="214">
        <f t="shared" si="0"/>
        <v>0</v>
      </c>
      <c r="K9" s="217">
        <v>0</v>
      </c>
      <c r="L9" s="88">
        <v>0</v>
      </c>
      <c r="M9" s="88">
        <v>0</v>
      </c>
      <c r="N9" s="88">
        <v>0</v>
      </c>
      <c r="O9" s="88">
        <v>0</v>
      </c>
      <c r="P9" s="88">
        <v>0</v>
      </c>
      <c r="Q9" s="88">
        <v>0</v>
      </c>
      <c r="R9" s="88">
        <v>0</v>
      </c>
      <c r="S9" s="88">
        <v>0</v>
      </c>
      <c r="T9" s="88">
        <v>0</v>
      </c>
      <c r="U9" s="88">
        <v>0</v>
      </c>
      <c r="V9" s="88">
        <v>0</v>
      </c>
      <c r="W9" s="88">
        <v>0</v>
      </c>
      <c r="X9" s="88">
        <v>0</v>
      </c>
      <c r="Y9" s="436" t="s">
        <v>256</v>
      </c>
      <c r="Z9" s="88" t="s">
        <v>40</v>
      </c>
      <c r="AC9" s="199" t="e">
        <f>+Eau_technique!#REF!*(Juridique_Eau!#REF!)+Eau_technique!#REF!*Juridique_Eau!#REF!</f>
        <v>#REF!</v>
      </c>
    </row>
    <row r="10" spans="1:29" ht="15">
      <c r="A10" s="216" t="str">
        <f>+Liste_services!A8</f>
        <v xml:space="preserve">La Turbie </v>
      </c>
      <c r="B10" s="213"/>
      <c r="C10" s="213" t="s">
        <v>541</v>
      </c>
      <c r="D10" s="213"/>
      <c r="E10" s="213"/>
      <c r="F10" s="213">
        <v>0</v>
      </c>
      <c r="G10" s="213">
        <v>0</v>
      </c>
      <c r="H10" s="231" t="s">
        <v>40</v>
      </c>
      <c r="I10" s="214">
        <v>0</v>
      </c>
      <c r="J10" s="214">
        <f t="shared" si="0"/>
        <v>0</v>
      </c>
      <c r="K10" s="217">
        <v>0</v>
      </c>
      <c r="L10" s="88">
        <v>0</v>
      </c>
      <c r="M10" s="88">
        <v>0</v>
      </c>
      <c r="N10" s="88">
        <v>0</v>
      </c>
      <c r="O10" s="88">
        <v>0</v>
      </c>
      <c r="P10" s="88">
        <v>0</v>
      </c>
      <c r="Q10" s="88">
        <v>0</v>
      </c>
      <c r="R10" s="88">
        <v>0</v>
      </c>
      <c r="S10" s="88">
        <v>0</v>
      </c>
      <c r="T10" s="88">
        <v>0</v>
      </c>
      <c r="U10" s="88">
        <v>0</v>
      </c>
      <c r="V10" s="88">
        <v>0</v>
      </c>
      <c r="W10" s="88">
        <v>0</v>
      </c>
      <c r="X10" s="88">
        <v>0</v>
      </c>
      <c r="Y10" s="436" t="s">
        <v>256</v>
      </c>
      <c r="Z10" s="88" t="s">
        <v>659</v>
      </c>
      <c r="AC10" s="199" t="e">
        <f>+Eau_technique!#REF!*(Juridique_Eau!#REF!)+Eau_technique!#REF!*Juridique_Eau!#REF!</f>
        <v>#REF!</v>
      </c>
    </row>
    <row r="11" spans="1:29" ht="60">
      <c r="A11" s="216" t="str">
        <f>+Liste_services!A9</f>
        <v>Castillon</v>
      </c>
      <c r="B11" s="213"/>
      <c r="C11" s="213"/>
      <c r="D11" s="213"/>
      <c r="E11" s="213" t="s">
        <v>604</v>
      </c>
      <c r="F11" s="213" t="s">
        <v>40</v>
      </c>
      <c r="G11" s="231" t="s">
        <v>619</v>
      </c>
      <c r="H11" s="231" t="s">
        <v>619</v>
      </c>
      <c r="I11" s="214"/>
      <c r="J11" s="214">
        <f t="shared" si="0"/>
        <v>2333.3333333333335</v>
      </c>
      <c r="K11" s="217" t="s">
        <v>40</v>
      </c>
      <c r="L11" s="88" t="s">
        <v>40</v>
      </c>
      <c r="M11" s="88" t="s">
        <v>40</v>
      </c>
      <c r="N11" s="88" t="s">
        <v>41</v>
      </c>
      <c r="O11" s="88" t="s">
        <v>41</v>
      </c>
      <c r="P11" s="88">
        <v>0</v>
      </c>
      <c r="Q11" s="88">
        <v>0</v>
      </c>
      <c r="R11" s="435">
        <v>7000</v>
      </c>
      <c r="S11" s="88">
        <v>0</v>
      </c>
      <c r="T11" s="88">
        <v>0</v>
      </c>
      <c r="U11" s="435">
        <v>-46051</v>
      </c>
      <c r="V11" s="88">
        <v>0</v>
      </c>
      <c r="W11" s="88">
        <v>0</v>
      </c>
      <c r="X11" s="88">
        <v>0</v>
      </c>
      <c r="Y11" s="436" t="s">
        <v>751</v>
      </c>
      <c r="Z11" s="88" t="s">
        <v>496</v>
      </c>
      <c r="AC11" s="199" t="e">
        <f>+Eau_technique!#REF!*(Juridique_Eau!#REF!)+Eau_technique!#REF!*Juridique_Eau!#REF!</f>
        <v>#REF!</v>
      </c>
    </row>
    <row r="12" spans="1:29" ht="15">
      <c r="A12" s="216" t="str">
        <f>+Liste_services!A10</f>
        <v>Sospel</v>
      </c>
      <c r="B12" s="213"/>
      <c r="C12" s="213"/>
      <c r="D12" s="213" t="s">
        <v>604</v>
      </c>
      <c r="E12" s="213"/>
      <c r="F12" s="213" t="s">
        <v>41</v>
      </c>
      <c r="G12" s="231" t="s">
        <v>40</v>
      </c>
      <c r="H12" s="231" t="s">
        <v>41</v>
      </c>
      <c r="I12" s="214"/>
      <c r="J12" s="214">
        <f t="shared" si="0"/>
        <v>-14142</v>
      </c>
      <c r="K12" s="217" t="s">
        <v>40</v>
      </c>
      <c r="L12" s="88" t="s">
        <v>41</v>
      </c>
      <c r="M12" s="88" t="s">
        <v>40</v>
      </c>
      <c r="N12" s="88" t="s">
        <v>41</v>
      </c>
      <c r="O12" s="88" t="s">
        <v>41</v>
      </c>
      <c r="P12" s="435">
        <v>-39819</v>
      </c>
      <c r="Q12" s="435">
        <v>-3054</v>
      </c>
      <c r="R12" s="435">
        <v>447</v>
      </c>
      <c r="S12" s="435">
        <v>174729</v>
      </c>
      <c r="T12" s="435">
        <v>161160</v>
      </c>
      <c r="U12" s="435">
        <v>123060</v>
      </c>
      <c r="V12" s="435">
        <v>781063</v>
      </c>
      <c r="W12" s="435">
        <v>717880</v>
      </c>
      <c r="X12" s="435">
        <v>653015</v>
      </c>
      <c r="Y12" s="436" t="s">
        <v>301</v>
      </c>
      <c r="Z12" s="88" t="s">
        <v>658</v>
      </c>
      <c r="AC12" s="199" t="e">
        <f>+Eau_technique!#REF!*(Juridique_Eau!#REF!)+Eau_technique!#REF!*Juridique_Eau!#REF!</f>
        <v>#REF!</v>
      </c>
    </row>
    <row r="13" spans="1:29" ht="60">
      <c r="A13" s="216" t="str">
        <f>+Liste_services!A11</f>
        <v>Moulinet</v>
      </c>
      <c r="B13" s="213"/>
      <c r="C13" s="213"/>
      <c r="E13" s="213" t="s">
        <v>604</v>
      </c>
      <c r="F13" s="213" t="s">
        <v>41</v>
      </c>
      <c r="G13" s="231" t="s">
        <v>619</v>
      </c>
      <c r="H13" s="231" t="s">
        <v>717</v>
      </c>
      <c r="I13" s="214"/>
      <c r="J13" s="214">
        <f t="shared" si="0"/>
        <v>-1575</v>
      </c>
      <c r="K13" s="217" t="s">
        <v>40</v>
      </c>
      <c r="L13" s="88" t="s">
        <v>41</v>
      </c>
      <c r="M13" s="88" t="s">
        <v>40</v>
      </c>
      <c r="N13" s="88" t="s">
        <v>41</v>
      </c>
      <c r="O13" s="88" t="s">
        <v>41</v>
      </c>
      <c r="P13" s="435">
        <v>-13899</v>
      </c>
      <c r="Q13" s="435">
        <v>4587</v>
      </c>
      <c r="R13" s="435">
        <v>4587</v>
      </c>
      <c r="S13" s="435">
        <v>26633</v>
      </c>
      <c r="T13" s="435">
        <v>31220</v>
      </c>
      <c r="U13" s="435">
        <v>5807</v>
      </c>
      <c r="V13" s="435">
        <v>29457</v>
      </c>
      <c r="W13" s="435">
        <v>28633</v>
      </c>
      <c r="X13" s="435">
        <v>27809</v>
      </c>
      <c r="Y13" s="436" t="s">
        <v>718</v>
      </c>
      <c r="Z13" s="88" t="s">
        <v>40</v>
      </c>
      <c r="AC13" s="199" t="e">
        <f>+Eau_technique!#REF!*(Juridique_Eau!#REF!)+Eau_technique!#REF!*Juridique_Eau!#REF!</f>
        <v>#REF!</v>
      </c>
    </row>
    <row r="14" spans="1:29" ht="15">
      <c r="A14" s="216" t="str">
        <f>+Liste_services!A12</f>
        <v>Breil</v>
      </c>
      <c r="B14" s="213"/>
      <c r="C14" s="213"/>
      <c r="D14" s="213" t="s">
        <v>604</v>
      </c>
      <c r="E14" s="213"/>
      <c r="F14" s="213" t="s">
        <v>41</v>
      </c>
      <c r="G14" s="231" t="s">
        <v>40</v>
      </c>
      <c r="H14" s="231" t="s">
        <v>696</v>
      </c>
      <c r="I14" s="214"/>
      <c r="J14" s="214">
        <f t="shared" si="0"/>
        <v>27943</v>
      </c>
      <c r="K14" s="217" t="s">
        <v>41</v>
      </c>
      <c r="L14" s="88" t="s">
        <v>41</v>
      </c>
      <c r="M14" s="88" t="s">
        <v>40</v>
      </c>
      <c r="N14" s="88" t="s">
        <v>41</v>
      </c>
      <c r="O14" s="88" t="s">
        <v>41</v>
      </c>
      <c r="P14" s="435">
        <v>-50867</v>
      </c>
      <c r="Q14" s="435">
        <v>28934</v>
      </c>
      <c r="R14" s="435">
        <v>105762</v>
      </c>
      <c r="S14" s="435">
        <v>-135863</v>
      </c>
      <c r="T14" s="435">
        <v>-106929</v>
      </c>
      <c r="U14" s="435">
        <v>-1167</v>
      </c>
      <c r="V14" s="435">
        <v>355993</v>
      </c>
      <c r="W14" s="435">
        <v>340868</v>
      </c>
      <c r="X14" s="435">
        <v>336353</v>
      </c>
      <c r="Y14" s="436" t="s">
        <v>301</v>
      </c>
      <c r="Z14" s="88" t="s">
        <v>658</v>
      </c>
      <c r="AC14" s="199" t="e">
        <f>+Eau_technique!#REF!*(Juridique_Eau!#REF!)+Eau_technique!#REF!*Juridique_Eau!#REF!</f>
        <v>#REF!</v>
      </c>
    </row>
    <row r="15" spans="1:29" ht="15">
      <c r="A15" s="216" t="str">
        <f>+Liste_services!A14</f>
        <v>La Brigue</v>
      </c>
      <c r="B15" s="213"/>
      <c r="C15" s="213"/>
      <c r="D15" s="213" t="s">
        <v>604</v>
      </c>
      <c r="E15" s="213"/>
      <c r="F15" s="213" t="s">
        <v>41</v>
      </c>
      <c r="G15" s="231" t="s">
        <v>40</v>
      </c>
      <c r="H15" s="231" t="s">
        <v>41</v>
      </c>
      <c r="I15" s="214"/>
      <c r="J15" s="214">
        <f t="shared" si="0"/>
        <v>31520</v>
      </c>
      <c r="K15" s="217" t="s">
        <v>40</v>
      </c>
      <c r="L15" s="88" t="s">
        <v>41</v>
      </c>
      <c r="M15" s="88" t="s">
        <v>40</v>
      </c>
      <c r="N15" s="88" t="s">
        <v>41</v>
      </c>
      <c r="O15" s="88" t="s">
        <v>41</v>
      </c>
      <c r="P15" s="435">
        <v>23365</v>
      </c>
      <c r="Q15" s="435">
        <v>62401</v>
      </c>
      <c r="R15" s="435">
        <v>8794</v>
      </c>
      <c r="S15" s="435">
        <v>127790</v>
      </c>
      <c r="T15" s="435">
        <v>190190</v>
      </c>
      <c r="U15" s="435">
        <v>195787</v>
      </c>
      <c r="V15" s="435">
        <v>25405</v>
      </c>
      <c r="W15" s="435">
        <v>20690</v>
      </c>
      <c r="X15" s="435">
        <v>15799</v>
      </c>
      <c r="Y15" s="436" t="s">
        <v>301</v>
      </c>
      <c r="Z15" s="88" t="s">
        <v>658</v>
      </c>
      <c r="AC15" s="199" t="e">
        <f>+Eau_technique!#REF!*(Juridique_Eau!#REF!)+Eau_technique!#REF!*Juridique_Eau!#REF!</f>
        <v>#REF!</v>
      </c>
    </row>
    <row r="16" spans="1:29" ht="15">
      <c r="A16" s="216" t="str">
        <f>+Liste_services!A15</f>
        <v>Fontan</v>
      </c>
      <c r="B16" s="213"/>
      <c r="C16" s="213"/>
      <c r="D16" s="213" t="s">
        <v>604</v>
      </c>
      <c r="E16" s="213"/>
      <c r="F16" s="213" t="s">
        <v>41</v>
      </c>
      <c r="G16" s="231" t="s">
        <v>40</v>
      </c>
      <c r="H16" s="231" t="s">
        <v>40</v>
      </c>
      <c r="I16" s="214"/>
      <c r="J16" s="214">
        <f t="shared" si="0"/>
        <v>20515.666666666668</v>
      </c>
      <c r="K16" s="217" t="s">
        <v>40</v>
      </c>
      <c r="L16" s="88" t="s">
        <v>41</v>
      </c>
      <c r="M16" s="88" t="s">
        <v>40</v>
      </c>
      <c r="N16" s="88" t="s">
        <v>40</v>
      </c>
      <c r="O16" s="88" t="s">
        <v>41</v>
      </c>
      <c r="P16" s="435">
        <v>22272</v>
      </c>
      <c r="Q16" s="435">
        <v>21287</v>
      </c>
      <c r="R16" s="435">
        <v>17988</v>
      </c>
      <c r="S16" s="435">
        <v>124607</v>
      </c>
      <c r="T16" s="435">
        <v>141673</v>
      </c>
      <c r="U16" s="435">
        <v>146042</v>
      </c>
      <c r="V16" s="435">
        <v>40660</v>
      </c>
      <c r="W16" s="435">
        <v>39070</v>
      </c>
      <c r="X16" s="435">
        <v>37402</v>
      </c>
      <c r="Y16" s="436" t="s">
        <v>301</v>
      </c>
      <c r="Z16" s="88" t="s">
        <v>496</v>
      </c>
      <c r="AC16" s="199" t="e">
        <f>+Eau_technique!#REF!*(Juridique_Eau!#REF!)+Eau_technique!#REF!*Juridique_Eau!#REF!</f>
        <v>#REF!</v>
      </c>
    </row>
    <row r="17" spans="1:29" ht="15">
      <c r="A17" s="216" t="str">
        <f>+Liste_services!A16</f>
        <v>Tende</v>
      </c>
      <c r="B17" s="213"/>
      <c r="C17" s="213"/>
      <c r="D17" s="213" t="s">
        <v>604</v>
      </c>
      <c r="E17" s="213"/>
      <c r="F17" s="213" t="s">
        <v>40</v>
      </c>
      <c r="G17" s="231" t="s">
        <v>40</v>
      </c>
      <c r="H17" s="231" t="s">
        <v>40</v>
      </c>
      <c r="I17" s="214"/>
      <c r="J17" s="214">
        <f t="shared" si="0"/>
        <v>83252.333333333328</v>
      </c>
      <c r="K17" s="217" t="s">
        <v>40</v>
      </c>
      <c r="L17" s="88" t="s">
        <v>40</v>
      </c>
      <c r="M17" s="88" t="s">
        <v>40</v>
      </c>
      <c r="N17" s="88" t="s">
        <v>41</v>
      </c>
      <c r="O17" s="88" t="s">
        <v>622</v>
      </c>
      <c r="P17" s="435">
        <v>111726</v>
      </c>
      <c r="Q17" s="435">
        <v>70428</v>
      </c>
      <c r="R17" s="435">
        <v>67603</v>
      </c>
      <c r="S17" s="435">
        <v>144707</v>
      </c>
      <c r="T17" s="435">
        <v>129505</v>
      </c>
      <c r="U17" s="435">
        <v>67005</v>
      </c>
      <c r="V17" s="88">
        <v>0</v>
      </c>
      <c r="W17" s="88">
        <v>0</v>
      </c>
      <c r="X17" s="88">
        <v>0</v>
      </c>
      <c r="Y17" s="436" t="s">
        <v>301</v>
      </c>
      <c r="Z17" s="88" t="s">
        <v>658</v>
      </c>
      <c r="AC17" s="199" t="e">
        <f>+Eau_technique!#REF!*(Juridique_Eau!#REF!)+Eau_technique!#REF!*Juridique_Eau!#REF!</f>
        <v>#REF!</v>
      </c>
    </row>
    <row r="18" spans="1:29" ht="156">
      <c r="A18" s="216" t="str">
        <f>+Liste_services!A17</f>
        <v>SIECL</v>
      </c>
      <c r="B18" s="213"/>
      <c r="C18" s="213"/>
      <c r="D18" s="231" t="s">
        <v>604</v>
      </c>
      <c r="E18" s="213"/>
      <c r="F18" s="213" t="s">
        <v>41</v>
      </c>
      <c r="G18" s="231" t="s">
        <v>40</v>
      </c>
      <c r="H18" s="231" t="s">
        <v>41</v>
      </c>
      <c r="I18" s="214"/>
      <c r="J18" s="214">
        <f t="shared" si="0"/>
        <v>1657299.3333333333</v>
      </c>
      <c r="K18" s="217" t="s">
        <v>41</v>
      </c>
      <c r="L18" s="88" t="s">
        <v>41</v>
      </c>
      <c r="M18" s="88" t="s">
        <v>40</v>
      </c>
      <c r="N18" s="88" t="s">
        <v>41</v>
      </c>
      <c r="O18" s="88" t="s">
        <v>41</v>
      </c>
      <c r="P18" s="435">
        <v>-1599910</v>
      </c>
      <c r="Q18" s="435">
        <v>1758027</v>
      </c>
      <c r="R18" s="435">
        <v>4813781</v>
      </c>
      <c r="S18" s="435">
        <v>2520252</v>
      </c>
      <c r="T18" s="435">
        <v>3483798</v>
      </c>
      <c r="U18" s="435">
        <v>8017644</v>
      </c>
      <c r="V18" s="435">
        <v>3009825</v>
      </c>
      <c r="W18" s="435">
        <v>3010125</v>
      </c>
      <c r="X18" s="435">
        <v>2101981</v>
      </c>
      <c r="Y18" s="436" t="s">
        <v>829</v>
      </c>
      <c r="Z18" s="88" t="s">
        <v>660</v>
      </c>
      <c r="AC18" s="199" t="e">
        <f>+Eau_technique!#REF!*(Juridique_Eau!#REF!)+Eau_technique!#REF!*Juridique_Eau!#REF!</f>
        <v>#REF!</v>
      </c>
    </row>
  </sheetData>
  <autoFilter ref="A2:AC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90A46D6FC9F844B6390F881982158C" ma:contentTypeVersion="17" ma:contentTypeDescription="Crée un document." ma:contentTypeScope="" ma:versionID="d52b9c747b75a24c16a71fc162dfebed">
  <xsd:schema xmlns:xsd="http://www.w3.org/2001/XMLSchema" xmlns:xs="http://www.w3.org/2001/XMLSchema" xmlns:p="http://schemas.microsoft.com/office/2006/metadata/properties" xmlns:ns2="d8adf43f-43a9-4044-8475-50f90ebe2817" xmlns:ns3="54b6a997-baab-4416-a514-30e1bbae5d87" targetNamespace="http://schemas.microsoft.com/office/2006/metadata/properties" ma:root="true" ma:fieldsID="801d44483e915dbaae633ef12d8de476" ns2:_="" ns3:_="">
    <xsd:import namespace="d8adf43f-43a9-4044-8475-50f90ebe2817"/>
    <xsd:import namespace="54b6a997-baab-4416-a514-30e1bbae5d8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adf43f-43a9-4044-8475-50f90ebe28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3cd8139-5443-4370-9952-472221ea67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6a997-baab-4416-a514-30e1bbae5d87"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e39775c-7291-4f58-b8f8-d36406fe463a}" ma:internalName="TaxCatchAll" ma:showField="CatchAllData" ma:web="54b6a997-baab-4416-a514-30e1bbae5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b6a997-baab-4416-a514-30e1bbae5d87" xsi:nil="true"/>
    <lcf76f155ced4ddcb4097134ff3c332f xmlns="d8adf43f-43a9-4044-8475-50f90ebe28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4A1E3C-3BCC-449F-8F10-D54D69DC5B2C}"/>
</file>

<file path=customXml/itemProps2.xml><?xml version="1.0" encoding="utf-8"?>
<ds:datastoreItem xmlns:ds="http://schemas.openxmlformats.org/officeDocument/2006/customXml" ds:itemID="{68B9AB29-872E-4414-BCA6-887DD50B5679}"/>
</file>

<file path=customXml/itemProps3.xml><?xml version="1.0" encoding="utf-8"?>
<ds:datastoreItem xmlns:ds="http://schemas.openxmlformats.org/officeDocument/2006/customXml" ds:itemID="{52B6E045-80B7-469D-87D5-803C420D9C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vt:i4>
      </vt:variant>
    </vt:vector>
  </HeadingPairs>
  <TitlesOfParts>
    <vt:vector size="19" baseType="lpstr">
      <vt:lpstr>Liste_services</vt:lpstr>
      <vt:lpstr>Synthèse_eau</vt:lpstr>
      <vt:lpstr>Synthèse_ass</vt:lpstr>
      <vt:lpstr>Juridique_Ass</vt:lpstr>
      <vt:lpstr>Assainissement_technique </vt:lpstr>
      <vt:lpstr>Financier_Ass</vt:lpstr>
      <vt:lpstr>Eau_technique</vt:lpstr>
      <vt:lpstr>Juridique_Eau</vt:lpstr>
      <vt:lpstr>Financier_Eau</vt:lpstr>
      <vt:lpstr>Incendie</vt:lpstr>
      <vt:lpstr>ETP</vt:lpstr>
      <vt:lpstr>calculs_tech_eau</vt:lpstr>
      <vt:lpstr>calculs_tech_asst</vt:lpstr>
      <vt:lpstr>Synthèse_ass!Nom_service</vt:lpstr>
      <vt:lpstr>Synthèse_eau!Nom_service</vt:lpstr>
      <vt:lpstr>'Assainissement_technique '!Zone_d_impression</vt:lpstr>
      <vt:lpstr>Eau_technique!Zone_d_impression</vt:lpstr>
      <vt:lpstr>Synthèse_ass!Zone_d_impression</vt:lpstr>
      <vt:lpstr>Synthèse_eau!Zone_d_impression</vt:lpstr>
    </vt:vector>
  </TitlesOfParts>
  <Company>SP2000</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 Galaup</dc:creator>
  <cp:lastModifiedBy>Yoann LAURENT</cp:lastModifiedBy>
  <cp:lastPrinted>2017-07-17T12:59:11Z</cp:lastPrinted>
  <dcterms:created xsi:type="dcterms:W3CDTF">2007-02-06T20:36:08Z</dcterms:created>
  <dcterms:modified xsi:type="dcterms:W3CDTF">2017-07-17T13:38:31Z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0x010100DA90A46D6FC9F844B6390F881982158C</vt:lpwstr>
  </property>
</Properties>
</file>